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Ee4L+klvw18RWhJsPu01uK7ng+WUw3cUaYdwAWeAfsFhjoOwwe7s+FgGSoxe4qHjUtF6x1C7tKN6iwe4T/6r9w==" workbookSaltValue="2t59TR68q0lXRg5Z+Zafm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H14" i="16"/>
  <c r="AO14" i="21"/>
  <c r="AP14" i="16"/>
  <c r="T23" i="17"/>
  <c r="T26" i="17" s="1"/>
  <c r="T30" i="17" s="1"/>
  <c r="U26" i="16"/>
  <c r="BG16" i="13"/>
  <c r="BF17" i="13"/>
  <c r="AI32" i="20"/>
  <c r="AE32" i="20"/>
  <c r="W32" i="20"/>
  <c r="AJ32" i="20"/>
  <c r="G30" i="14"/>
  <c r="G23" i="14"/>
  <c r="U18" i="11"/>
  <c r="AX32" i="20"/>
  <c r="Y32" i="20"/>
  <c r="L32" i="20"/>
  <c r="AG32" i="20"/>
  <c r="H32" i="20"/>
  <c r="T32" i="21"/>
  <c r="F32" i="20"/>
  <c r="AF32" i="20"/>
  <c r="G26" i="14"/>
  <c r="S32" i="20"/>
  <c r="K32" i="20"/>
  <c r="AQ32" i="21"/>
  <c r="O17" i="11"/>
  <c r="E32" i="20"/>
  <c r="M32" i="20"/>
  <c r="AM32" i="20"/>
  <c r="U10" i="11"/>
  <c r="I32" i="20"/>
  <c r="J32" i="20"/>
  <c r="Q32" i="20"/>
  <c r="AK32" i="20"/>
  <c r="U12" i="11"/>
  <c r="AU32" i="20"/>
  <c r="AZ32" i="20"/>
  <c r="G14" i="14"/>
  <c r="O18" i="11"/>
  <c r="R32" i="20"/>
  <c r="BF17" i="8" l="1"/>
  <c r="E23" i="12"/>
  <c r="T31" i="8"/>
  <c r="BG17" i="13"/>
  <c r="R8" i="9"/>
  <c r="BJ18" i="11"/>
  <c r="Q18" i="20"/>
  <c r="Q23" i="20" s="1"/>
  <c r="BF18" i="11"/>
  <c r="BG22" i="11"/>
  <c r="AZ19" i="11"/>
  <c r="V11" i="11"/>
  <c r="BM12" i="11"/>
  <c r="V9" i="11"/>
  <c r="BJ16" i="11"/>
  <c r="AP16" i="20"/>
  <c r="BH18" i="16"/>
  <c r="BI28" i="11"/>
  <c r="AZ29" i="11"/>
  <c r="BI10" i="11"/>
  <c r="V28" i="11"/>
  <c r="R25" i="14"/>
  <c r="BL25" i="11"/>
  <c r="AZ9" i="11"/>
  <c r="AZ31" i="11" s="1"/>
  <c r="T16" i="16"/>
  <c r="BV19" i="16"/>
  <c r="BW18" i="20"/>
  <c r="BW12" i="20"/>
  <c r="BW16" i="20"/>
  <c r="BV10" i="16"/>
  <c r="V12" i="16"/>
  <c r="S28" i="17"/>
  <c r="Q18" i="17"/>
  <c r="AQ10" i="21"/>
  <c r="S10" i="17"/>
  <c r="BG17" i="11"/>
  <c r="AO25" i="17"/>
  <c r="BL17" i="11"/>
  <c r="X22" i="16"/>
  <c r="X19" i="16"/>
  <c r="V10" i="16"/>
  <c r="BH11" i="16"/>
  <c r="BH19" i="16"/>
  <c r="BH19" i="11"/>
  <c r="BJ21" i="11"/>
  <c r="BI16" i="11"/>
  <c r="BG9" i="11"/>
  <c r="R18" i="20"/>
  <c r="R23" i="20" s="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N32" i="20"/>
  <c r="AO32" i="20"/>
  <c r="T32" i="20"/>
  <c r="AA32" i="20"/>
  <c r="AN32" i="20"/>
  <c r="AD32" i="20"/>
  <c r="AC32" i="20"/>
  <c r="AV32" i="20"/>
  <c r="O10" i="11"/>
  <c r="AP32" i="20"/>
  <c r="U17" i="11"/>
  <c r="W32" i="21"/>
  <c r="AQ32" i="20"/>
  <c r="Z32" i="20"/>
  <c r="AB32" i="20"/>
  <c r="AL32" i="20"/>
  <c r="AH32" i="20"/>
  <c r="X32" i="20"/>
  <c r="K17" i="12" l="1"/>
  <c r="X12" i="21"/>
  <c r="AP17" i="20"/>
  <c r="BJ22" i="11"/>
  <c r="BG10" i="11"/>
  <c r="BM17" i="11"/>
  <c r="V11" i="16"/>
  <c r="BF21" i="11"/>
  <c r="V25" i="11"/>
  <c r="BF17" i="11"/>
  <c r="BF10" i="11"/>
  <c r="BL12" i="11"/>
  <c r="V12" i="21"/>
  <c r="BK11" i="11"/>
  <c r="AZ18" i="11"/>
  <c r="AP10" i="21"/>
  <c r="AP21" i="20"/>
  <c r="BH20" i="16"/>
  <c r="BJ11" i="11"/>
  <c r="BH22" i="16"/>
  <c r="R10" i="21"/>
  <c r="BJ20" i="11"/>
  <c r="BF11" i="11"/>
  <c r="BL9" i="11"/>
  <c r="BF19" i="11"/>
  <c r="BF23" i="11" s="1"/>
  <c r="BL18" i="11"/>
  <c r="BK12" i="11"/>
  <c r="S18" i="16"/>
  <c r="V18" i="16"/>
  <c r="BG29" i="11"/>
  <c r="Q10" i="21"/>
  <c r="Q14" i="21" s="1"/>
  <c r="Q31" i="21" s="1"/>
  <c r="BK25" i="11"/>
  <c r="BH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BH22" i="11"/>
  <c r="L22" i="2"/>
  <c r="S16" i="17"/>
  <c r="L12" i="2"/>
  <c r="X10" i="21"/>
  <c r="U9" i="17"/>
  <c r="U31" i="17" s="1"/>
  <c r="V9" i="16"/>
  <c r="T9" i="11"/>
  <c r="S20" i="14"/>
  <c r="V20" i="14" s="1"/>
  <c r="BH16" i="11"/>
  <c r="P18" i="17"/>
  <c r="BF29" i="11"/>
  <c r="BK19" i="11"/>
  <c r="BK16" i="11"/>
  <c r="V21" i="11"/>
  <c r="BH9" i="11"/>
  <c r="BJ29" i="11"/>
  <c r="BJ12" i="11"/>
  <c r="AZ13" i="11"/>
  <c r="BH28" i="16"/>
  <c r="S13" i="17"/>
  <c r="AP14" i="20"/>
  <c r="V10" i="21"/>
  <c r="AO18" i="17"/>
  <c r="AO9" i="17"/>
  <c r="AO16" i="17"/>
  <c r="AM20" i="11"/>
  <c r="I16" i="12"/>
  <c r="AO13" i="17"/>
  <c r="X14" i="17"/>
  <c r="AM16" i="11"/>
  <c r="AM11" i="11"/>
  <c r="AP30" i="20"/>
  <c r="AO10" i="17"/>
  <c r="AO30" i="17"/>
  <c r="BH26" i="16"/>
  <c r="BF23" i="13"/>
  <c r="AM17" i="11"/>
  <c r="AQ26" i="21"/>
  <c r="AO26" i="17"/>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R13" i="14"/>
  <c r="BL11" i="11"/>
  <c r="BM13" i="11"/>
  <c r="Q13" i="11" s="1"/>
  <c r="BF22" i="11"/>
  <c r="BK9" i="11"/>
  <c r="BK14" i="11" s="1"/>
  <c r="BM29" i="11"/>
  <c r="BK13" i="11"/>
  <c r="X13" i="16"/>
  <c r="L20" i="2"/>
  <c r="S17" i="17"/>
  <c r="X12" i="17"/>
  <c r="BJ17" i="11"/>
  <c r="BM21" i="11"/>
  <c r="BI29" i="11"/>
  <c r="AO29" i="17"/>
  <c r="BH10" i="11"/>
  <c r="T16" i="11"/>
  <c r="BU12" i="17"/>
  <c r="BU18" i="17"/>
  <c r="U10" i="17"/>
  <c r="BV16" i="16"/>
  <c r="BV12" i="16"/>
  <c r="BV18" i="16"/>
  <c r="BW20" i="20"/>
  <c r="BL29" i="11"/>
  <c r="P29" i="11" s="1"/>
  <c r="BG19" i="11"/>
  <c r="V20" i="11"/>
  <c r="BI18" i="11"/>
  <c r="BM25" i="11"/>
  <c r="Q25" i="11" s="1"/>
  <c r="S9" i="17"/>
  <c r="BF25" i="11"/>
  <c r="BJ19" i="11"/>
  <c r="BH21" i="16"/>
  <c r="AP22" i="20"/>
  <c r="BI19" i="11"/>
  <c r="V13" i="11"/>
  <c r="BI25" i="11"/>
  <c r="BK21" i="11"/>
  <c r="BK29" i="11"/>
  <c r="BG20" i="11"/>
  <c r="BF28" i="11"/>
  <c r="BH16" i="16"/>
  <c r="BL19" i="11"/>
  <c r="BL23" i="11" s="1"/>
  <c r="K9" i="12"/>
  <c r="BG25" i="11"/>
  <c r="BF13" i="11"/>
  <c r="V16" i="11"/>
  <c r="BH9" i="16"/>
  <c r="BL21" i="11"/>
  <c r="P21" i="11" s="1"/>
  <c r="BV21" i="16"/>
  <c r="BV11" i="16"/>
  <c r="BW28" i="20"/>
  <c r="S11" i="17"/>
  <c r="AZ11" i="11"/>
  <c r="BK20" i="11"/>
  <c r="BJ10" i="11"/>
  <c r="Q16" i="17"/>
  <c r="BF16" i="11"/>
  <c r="BL22" i="11"/>
  <c r="BK10" i="11"/>
  <c r="L10" i="2"/>
  <c r="L18" i="2"/>
  <c r="L9" i="2"/>
  <c r="V29" i="11"/>
  <c r="V22" i="11"/>
  <c r="AZ21" i="11"/>
  <c r="BM20" i="11"/>
  <c r="BJ28" i="11"/>
  <c r="BU28" i="17"/>
  <c r="BU11" i="17"/>
  <c r="BW9" i="20"/>
  <c r="BU21" i="17"/>
  <c r="BV17" i="16"/>
  <c r="BW17" i="20"/>
  <c r="BV25" i="16"/>
  <c r="X21" i="16"/>
  <c r="BU9" i="17"/>
  <c r="BU33" i="17" s="1"/>
  <c r="BU19" i="17"/>
  <c r="BW10" i="20"/>
  <c r="BV22" i="16"/>
  <c r="BU17" i="17"/>
  <c r="S22" i="17"/>
  <c r="BF20" i="11"/>
  <c r="S16" i="16"/>
  <c r="S23" i="16" s="1"/>
  <c r="BL20" i="11"/>
  <c r="Q20" i="11" s="1"/>
  <c r="BL16" i="11"/>
  <c r="BH21" i="11"/>
  <c r="AZ25" i="11"/>
  <c r="BK17" i="11"/>
  <c r="BM18" i="11"/>
  <c r="BH17" i="11"/>
  <c r="AQ12" i="21"/>
  <c r="BH25" i="11"/>
  <c r="BI21" i="11"/>
  <c r="L28" i="2"/>
  <c r="L17" i="2"/>
  <c r="AA11" i="16"/>
  <c r="BK18" i="11"/>
  <c r="T18" i="16"/>
  <c r="T23" i="16" s="1"/>
  <c r="T31" i="16" s="1"/>
  <c r="AP18" i="20"/>
  <c r="BG21" i="11"/>
  <c r="BU25" i="17"/>
  <c r="BV28" i="16"/>
  <c r="BV13" i="16"/>
  <c r="BW13" i="20"/>
  <c r="BU29" i="17"/>
  <c r="BW11" i="20"/>
  <c r="S21" i="17"/>
  <c r="BU13" i="17"/>
  <c r="BV20" i="16"/>
  <c r="S25" i="17"/>
  <c r="P16" i="17"/>
  <c r="BF12" i="11"/>
  <c r="BH25" i="16"/>
  <c r="BI22" i="11"/>
  <c r="X21" i="20"/>
  <c r="L16"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9"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P32" i="16"/>
  <c r="BR32" i="16"/>
  <c r="AX32" i="21"/>
  <c r="AW32" i="11"/>
  <c r="O12" i="11"/>
  <c r="H32" i="17"/>
  <c r="O32" i="20"/>
  <c r="AV32" i="21"/>
  <c r="E31" i="2" l="1"/>
  <c r="R14" i="21"/>
  <c r="R31" i="21"/>
  <c r="AA31" i="11"/>
  <c r="P20" i="11"/>
  <c r="P23" i="17"/>
  <c r="P31" i="17" s="1"/>
  <c r="BJ23" i="11"/>
  <c r="AZ30"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O32" i="11"/>
  <c r="U32" i="17"/>
  <c r="Q32" i="16"/>
  <c r="L32" i="16"/>
  <c r="BS32" i="16"/>
  <c r="AA32" i="17"/>
  <c r="H32" i="12"/>
  <c r="X32" i="17"/>
  <c r="S32" i="16"/>
  <c r="X32" i="21"/>
  <c r="AC32" i="11"/>
  <c r="AG32" i="11"/>
  <c r="AD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V32" i="17"/>
  <c r="X32" i="11"/>
  <c r="AW32" i="21"/>
  <c r="AZ32" i="16"/>
  <c r="AS32" i="16"/>
  <c r="M32" i="17"/>
  <c r="Z32" i="16"/>
  <c r="V32" i="17"/>
  <c r="AN32" i="17"/>
  <c r="AU32" i="16"/>
  <c r="BC32" i="21"/>
  <c r="L32" i="11"/>
  <c r="O32" i="17"/>
  <c r="AB32" i="21"/>
  <c r="V32" i="11"/>
  <c r="P32" i="11"/>
  <c r="BD32" i="21"/>
  <c r="AS32" i="21"/>
  <c r="AR32" i="17"/>
  <c r="H32" i="16"/>
  <c r="AA32" i="11"/>
  <c r="Y32" i="11"/>
  <c r="AB32" i="16"/>
  <c r="AO32" i="21"/>
  <c r="AM32" i="17"/>
  <c r="AE32" i="21"/>
  <c r="N32" i="21"/>
  <c r="S32" i="21"/>
  <c r="AW32" i="17"/>
  <c r="AK32" i="16"/>
  <c r="U32" i="11"/>
  <c r="K32" i="21"/>
  <c r="AF32" i="17"/>
  <c r="AY32" i="16"/>
  <c r="BF32" i="16"/>
  <c r="AS32" i="17"/>
  <c r="X32" i="16"/>
  <c r="AY32" i="21"/>
  <c r="AL32" i="11"/>
  <c r="L32" i="21"/>
  <c r="AF32" i="11"/>
  <c r="AL32" i="17"/>
  <c r="I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<sst xmlns="http://schemas.openxmlformats.org/spreadsheetml/2006/main" count="2682" uniqueCount="1193">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</sst>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A8ZuHoflW/uWHbLaSUxCcD6vBiqCwAFejgZkg72tEs8DnsZCObnGYvs2xlyNe3Nfc7s8dYGIFyUhryUEgzd5A==" saltValue="0j6G5q0bn15engMC+Zx7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18</v>
      </c>
      <c r="D10" s="239">
        <f>IF(ISNUMBER(Datos!I10),Datos!I10," - ")</f>
        <v>18</v>
      </c>
      <c r="E10" s="240">
        <f>IF(ISNUMBER(Datos!J10),Datos!J10," - ")</f>
        <v>14</v>
      </c>
      <c r="F10" s="240">
        <f>IF(ISNUMBER(Datos!K10),Datos!K10," - ")</f>
        <v>1</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0.72222222222222221</v>
      </c>
      <c r="L10" s="1402">
        <f>IF(ISNUMBER(NºAsuntos!I10/NºAsuntos!G10),(NºAsuntos!I10/NºAsuntos!G10)*11," - ")</f>
        <v>341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46.091254752851711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18</v>
      </c>
      <c r="D14" s="1407">
        <f>SUBTOTAL(9,D9:D13)</f>
        <v>18</v>
      </c>
      <c r="E14" s="1408">
        <f>SUBTOTAL(9,E9:E13)</f>
        <v>14</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985</v>
      </c>
      <c r="D17" s="239">
        <f>IF(ISNUMBER(IF(D_I="SI",Datos!I17,Datos!I17+Datos!AC17)),IF(D_I="SI",Datos!I17,Datos!I17+Datos!AC17)," - ")</f>
        <v>1004</v>
      </c>
      <c r="E17" s="240">
        <f>IF(ISNUMBER(IF(D_I="SI",Datos!J17,Datos!J17+Datos!AD17)),IF(D_I="SI",Datos!J17,Datos!J17+Datos!AD17)," - ")</f>
        <v>294</v>
      </c>
      <c r="F17" s="240">
        <f>IF(ISNUMBER(IF(D_I="SI",Datos!K17,Datos!K17+Datos!AE17)),IF(D_I="SI",Datos!K17,Datos!K17+Datos!AE17)," - ")</f>
        <v>333</v>
      </c>
      <c r="G17" s="1390" t="str">
        <f>IF(Datos!E17&lt;&gt;"",Datos!E17,Datos!D17)</f>
        <v>04</v>
      </c>
      <c r="H17" s="241">
        <f>IF(ISNUMBER(IF(D_I="SI",Datos!L17,Datos!L17+Datos!AF17)),IF(D_I="SI",Datos!L17,Datos!L17+Datos!AF17)," - ")</f>
        <v>946</v>
      </c>
      <c r="I17" s="1400" t="str">
        <f>IF(ISNUMBER(Datos!AS17/Datos!BM17),Datos!AS17/Datos!BM17," - ")</f>
        <v xml:space="preserve"> - </v>
      </c>
      <c r="J17" s="1401">
        <f>IF(ISNUMBER(Datos!BY17/Datos!CN17),Datos!BY17/Datos!CN17," - ")</f>
        <v>0</v>
      </c>
      <c r="K17" s="244">
        <f t="shared" si="3"/>
        <v>-3.9593908629441621E-2</v>
      </c>
      <c r="L17" s="1402">
        <f>IF(ISNUMBER(NºAsuntos!I17/NºAsuntos!G17),(NºAsuntos!I17/NºAsuntos!G17)*11," - ")</f>
        <v>31.24924924924925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161</v>
      </c>
      <c r="D18" s="239">
        <f>IF(ISNUMBER(IF(D_I="SI",Datos!I18,Datos!I18+Datos!AC18)),IF(D_I="SI",Datos!I18,Datos!I18+Datos!AC18)," - ")</f>
        <v>161</v>
      </c>
      <c r="E18" s="240">
        <f>IF(ISNUMBER(IF(D_I="SI",Datos!J18,Datos!J18+Datos!AD18)),IF(D_I="SI",Datos!J18,Datos!J18+Datos!AD18)," - ")</f>
        <v>48</v>
      </c>
      <c r="F18" s="240">
        <f>IF(ISNUMBER(IF(D_I="SI",Datos!K18,Datos!K18+Datos!AE18)),IF(D_I="SI",Datos!K18,Datos!K18+Datos!AE18)," - ")</f>
        <v>56</v>
      </c>
      <c r="G18" s="1390" t="str">
        <f>IF(Datos!E18&lt;&gt;"",Datos!E18,Datos!D18)</f>
        <v>37</v>
      </c>
      <c r="H18" s="241">
        <f>IF(ISNUMBER(IF(D_I="SI",Datos!L18,Datos!L18+Datos!AF18)),IF(D_I="SI",Datos!L18,Datos!L18+Datos!AF18)," - ")</f>
        <v>153</v>
      </c>
      <c r="I18" s="1400" t="str">
        <f>IF(ISNUMBER(Datos!AS18/Datos!BM18),Datos!AS18/Datos!BM18," - ")</f>
        <v xml:space="preserve"> - </v>
      </c>
      <c r="J18" s="1401" t="str">
        <f>IF(ISNUMBER((Datos!BY18+Datos!BZ18)/Datos!CN18),(Datos!BY18+Datos!BZ18)/Datos!CN18," - ")</f>
        <v xml:space="preserve"> - </v>
      </c>
      <c r="K18" s="244">
        <f t="shared" si="3"/>
        <v>-4.9689440993788817E-2</v>
      </c>
      <c r="L18" s="1402">
        <f>IF(ISNUMBER(NºAsuntos!I18/NºAsuntos!G18),(NºAsuntos!I18/NºAsuntos!G18)*11," - ")</f>
        <v>30.053571428571431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1146</v>
      </c>
      <c r="D23" s="1407">
        <f>SUBTOTAL(9,D16:D22)</f>
        <v>1165</v>
      </c>
      <c r="E23" s="1408">
        <f>SUBTOTAL(9,E16:E22)</f>
        <v>342</v>
      </c>
      <c r="F23" s="1408">
        <f>SUBTOTAL(9,F16:F22)</f>
        <v>389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1164</v>
      </c>
      <c r="D31" s="1435">
        <f>SUBTOTAL(9,D9:D30)</f>
        <v>1183</v>
      </c>
      <c r="E31" s="1436">
        <f>SUBTOTAL(9,E9:E30)</f>
        <v>356</v>
      </c>
      <c r="F31" s="1436">
        <f>SUBTOTAL(9,F9:F30)</f>
        <v>390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Wk875PXtt3GHeLdxrQfelHcmfNBpwX9LwBKn5li7HsR8zvqsoGERF7+GxkmwbHEcNLOjfiyyrUtsmN/HXN21Q==" saltValue="JIK8uaUrVoHWcidNyWCMo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El1rVqm4Qrfel6fgUO9SJYEmWOLQEyHxyIFrscAiZC7dq23WI2Tm86HCQRZK23so9uY1k26SWOAtqHLQQxhIg==" saltValue="LTLmvsYsalm3tsMXWjuV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18</v>
      </c>
      <c r="J10" s="194">
        <v>14</v>
      </c>
      <c r="K10" s="194">
        <v>1</v>
      </c>
      <c r="L10" s="194">
        <v>31</v>
      </c>
      <c r="M10" s="194">
        <v>1</v>
      </c>
      <c r="N10" s="194">
        <v>0</v>
      </c>
      <c r="O10" s="194">
        <v>0</v>
      </c>
      <c r="P10" s="194">
        <v>2</v>
      </c>
      <c r="Q10" s="194">
        <v>0</v>
      </c>
      <c r="R10" s="194">
        <v>5</v>
      </c>
      <c r="S10" s="194">
        <v>11</v>
      </c>
      <c r="T10" s="194">
        <v>4</v>
      </c>
      <c r="U10" s="194">
        <v>0</v>
      </c>
      <c r="V10" s="194">
        <v>15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4</v>
      </c>
      <c r="BA10" s="139">
        <f t="shared" si="0"/>
        <v>0</v>
      </c>
      <c r="BB10" s="139">
        <f t="shared" si="0"/>
        <v>15</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959</v>
      </c>
      <c r="J12" s="196">
        <v>346</v>
      </c>
      <c r="K12" s="196">
        <v>246</v>
      </c>
      <c r="L12" s="196">
        <v>1055</v>
      </c>
      <c r="M12" s="196">
        <v>37</v>
      </c>
      <c r="N12" s="196">
        <v>131</v>
      </c>
      <c r="O12" s="194">
        <v>104</v>
      </c>
      <c r="P12" s="196">
        <v>72</v>
      </c>
      <c r="Q12" s="196">
        <v>68</v>
      </c>
      <c r="R12" s="196">
        <v>1632</v>
      </c>
      <c r="S12" s="196">
        <v>739</v>
      </c>
      <c r="T12" s="196">
        <v>149</v>
      </c>
      <c r="U12" s="196">
        <v>157</v>
      </c>
      <c r="V12" s="196">
        <v>731</v>
      </c>
      <c r="W12" s="196">
        <v>54</v>
      </c>
      <c r="X12" s="202">
        <v>78</v>
      </c>
      <c r="Y12" s="204">
        <v>52</v>
      </c>
      <c r="Z12" s="194">
        <v>12</v>
      </c>
      <c r="AA12" s="194">
        <v>17</v>
      </c>
      <c r="AB12" s="194">
        <v>47</v>
      </c>
      <c r="AC12" s="196">
        <v>0</v>
      </c>
      <c r="AD12" s="196">
        <v>0</v>
      </c>
      <c r="AE12" s="196">
        <v>0</v>
      </c>
      <c r="AF12" s="202">
        <v>0</v>
      </c>
      <c r="AG12" s="215">
        <v>64</v>
      </c>
      <c r="AH12" s="196">
        <v>12</v>
      </c>
      <c r="AI12" s="196">
        <v>40</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803</v>
      </c>
      <c r="AZ12" s="137">
        <f t="shared" si="1"/>
        <v>161</v>
      </c>
      <c r="BA12" s="137">
        <f t="shared" si="1"/>
        <v>197</v>
      </c>
      <c r="BB12" s="137">
        <f t="shared" si="1"/>
        <v>767</v>
      </c>
      <c r="BC12" s="135">
        <f>IF(ISNUMBER(X12),X12," - ")</f>
        <v>78</v>
      </c>
      <c r="BD12" s="136">
        <f t="shared" si="2"/>
        <v>1.2236024844720497</v>
      </c>
      <c r="BE12" s="137">
        <f t="shared" si="3"/>
        <v>3.8934010152284264</v>
      </c>
      <c r="BF12" s="137">
        <f t="shared" si="4"/>
        <v>0.39593908629441626</v>
      </c>
      <c r="BG12" s="209">
        <f t="shared" si="5"/>
        <v>4.8934010152284264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977</v>
      </c>
      <c r="J14" s="197">
        <f t="shared" si="7"/>
        <v>360</v>
      </c>
      <c r="K14" s="197">
        <f t="shared" si="7"/>
        <v>247</v>
      </c>
      <c r="L14" s="197">
        <f t="shared" si="7"/>
        <v>1086</v>
      </c>
      <c r="M14" s="197">
        <f t="shared" si="7"/>
        <v>38</v>
      </c>
      <c r="N14" s="197">
        <f t="shared" si="7"/>
        <v>131</v>
      </c>
      <c r="O14" s="197">
        <f t="shared" si="7"/>
        <v>104</v>
      </c>
      <c r="P14" s="197">
        <f t="shared" si="7"/>
        <v>74</v>
      </c>
      <c r="Q14" s="197">
        <f t="shared" si="7"/>
        <v>68</v>
      </c>
      <c r="R14" s="197">
        <f t="shared" si="7"/>
        <v>1637</v>
      </c>
      <c r="S14" s="197">
        <f t="shared" si="7"/>
        <v>750</v>
      </c>
      <c r="T14" s="197">
        <f t="shared" si="7"/>
        <v>153</v>
      </c>
      <c r="U14" s="197">
        <f t="shared" si="7"/>
        <v>157</v>
      </c>
      <c r="V14" s="197">
        <f t="shared" si="7"/>
        <v>746</v>
      </c>
      <c r="W14" s="197">
        <f t="shared" si="7"/>
        <v>54</v>
      </c>
      <c r="X14" s="197">
        <f t="shared" si="7"/>
        <v>78</v>
      </c>
      <c r="Y14" s="197">
        <f t="shared" si="7"/>
        <v>52</v>
      </c>
      <c r="Z14" s="197">
        <f t="shared" si="7"/>
        <v>12</v>
      </c>
      <c r="AA14" s="197">
        <f t="shared" si="7"/>
        <v>17</v>
      </c>
      <c r="AB14" s="197">
        <f t="shared" si="7"/>
        <v>47</v>
      </c>
      <c r="AC14" s="197">
        <f t="shared" si="7"/>
        <v>0</v>
      </c>
      <c r="AD14" s="197">
        <f t="shared" si="7"/>
        <v>0</v>
      </c>
      <c r="AE14" s="197">
        <f t="shared" si="7"/>
        <v>0</v>
      </c>
      <c r="AF14" s="197">
        <f>SUBTOTAL(9,AF9:AF13)</f>
        <v>0</v>
      </c>
      <c r="AG14" s="197">
        <f t="shared" ref="AG14:AT14" si="8">SUBTOTAL(9,AG8:AG13)</f>
        <v>64</v>
      </c>
      <c r="AH14" s="197">
        <f t="shared" si="8"/>
        <v>12</v>
      </c>
      <c r="AI14" s="197">
        <f t="shared" si="8"/>
        <v>40</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814</v>
      </c>
      <c r="AZ14" s="197">
        <f>SUBTOTAL(9,AZ8:AZ13)</f>
        <v>165</v>
      </c>
      <c r="BA14" s="197">
        <f>SUBTOTAL(9,BA8:BA13)</f>
        <v>197</v>
      </c>
      <c r="BB14" s="197">
        <f>SUBTOTAL(9,BB8:BB13)</f>
        <v>782</v>
      </c>
      <c r="BC14" s="197">
        <f>SUBTOTAL(9,BC8:BC13)</f>
        <v>78</v>
      </c>
      <c r="BD14" s="219">
        <f>IF(ISNUMBER(BA14/AZ14),BA14/AZ14," - ")</f>
        <v>1.1939393939393939</v>
      </c>
      <c r="BE14" s="220">
        <f>IF(ISNUMBER(BB14/BA14),BB14/BA14, " - ")</f>
        <v>3.969543147208122</v>
      </c>
      <c r="BF14" s="220">
        <f>IF(ISNUMBER(BC14/BA14),BC14/BA14, " - ")</f>
        <v>0.39593908629441626</v>
      </c>
      <c r="BG14" s="221">
        <f>IF(ISNUMBER((AY14+AZ14)/BA14),(AY14+AZ14)/BA14," - ")</f>
        <v>4.969543147208122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1004</v>
      </c>
      <c r="J17" s="196">
        <v>294</v>
      </c>
      <c r="K17" s="196">
        <v>333</v>
      </c>
      <c r="L17" s="196">
        <v>946</v>
      </c>
      <c r="M17" s="196">
        <v>46</v>
      </c>
      <c r="N17" s="196">
        <v>212</v>
      </c>
      <c r="O17" s="194">
        <v>0</v>
      </c>
      <c r="P17" s="196">
        <v>10</v>
      </c>
      <c r="Q17" s="196">
        <v>9</v>
      </c>
      <c r="R17" s="196">
        <v>136</v>
      </c>
      <c r="S17" s="196">
        <v>1351</v>
      </c>
      <c r="T17" s="196">
        <v>263</v>
      </c>
      <c r="U17" s="196">
        <v>259</v>
      </c>
      <c r="V17" s="196">
        <v>1355</v>
      </c>
      <c r="W17" s="196">
        <v>49</v>
      </c>
      <c r="X17" s="202">
        <v>135</v>
      </c>
      <c r="Y17" s="215">
        <v>0</v>
      </c>
      <c r="Z17" s="196">
        <v>0</v>
      </c>
      <c r="AA17" s="196">
        <v>0</v>
      </c>
      <c r="AB17" s="196">
        <v>0</v>
      </c>
      <c r="AC17" s="196">
        <v>1</v>
      </c>
      <c r="AD17" s="196">
        <v>1</v>
      </c>
      <c r="AE17" s="196">
        <v>0</v>
      </c>
      <c r="AF17" s="202">
        <v>2</v>
      </c>
      <c r="AG17" s="215">
        <v>0</v>
      </c>
      <c r="AH17" s="196">
        <v>0</v>
      </c>
      <c r="AI17" s="196">
        <v>0</v>
      </c>
      <c r="AJ17" s="216">
        <v>0</v>
      </c>
      <c r="AK17" s="195">
        <v>0</v>
      </c>
      <c r="AL17" s="196">
        <v>1</v>
      </c>
      <c r="AM17" s="196">
        <v>0</v>
      </c>
      <c r="AN17" s="202">
        <v>1</v>
      </c>
      <c r="AO17" s="283">
        <v>2</v>
      </c>
      <c r="AP17" s="168">
        <v>2</v>
      </c>
      <c r="AQ17" s="168">
        <v>2</v>
      </c>
      <c r="AR17" s="168">
        <v>2</v>
      </c>
      <c r="AS17" s="381" t="s">
        <v>650</v>
      </c>
      <c r="AT17" s="216"/>
      <c r="AU17" s="215"/>
      <c r="AV17" s="216"/>
      <c r="AW17" s="215"/>
      <c r="AX17" s="216"/>
      <c r="AY17" s="136">
        <f t="shared" si="10"/>
        <v>1351</v>
      </c>
      <c r="AZ17" s="137">
        <f t="shared" si="10"/>
        <v>263</v>
      </c>
      <c r="BA17" s="137">
        <f t="shared" si="10"/>
        <v>259</v>
      </c>
      <c r="BB17" s="137">
        <f t="shared" si="10"/>
        <v>1355</v>
      </c>
      <c r="BC17" s="135">
        <f>IF(ISNUMBER(W17),W17," - ")</f>
        <v>49</v>
      </c>
      <c r="BD17" s="136">
        <f t="shared" ref="BD17:BD22" si="12">IF(ISNUMBER(BA17/AZ17),BA17/AZ17," - ")</f>
        <v>0.98479087452471481</v>
      </c>
      <c r="BE17" s="137">
        <f t="shared" ref="BE17:BE22" si="13">IF(ISNUMBER(BB17/BA17),BB17/BA17, " - ")</f>
        <v>5.2316602316602321</v>
      </c>
      <c r="BF17" s="137">
        <f t="shared" ref="BF17:BF22" si="14">IF(ISNUMBER(BC17/BA17),BC17/BA17, " - ")</f>
        <v>0.1891891891891892</v>
      </c>
      <c r="BG17" s="209">
        <f t="shared" si="11"/>
        <v>6.2316602316602321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161</v>
      </c>
      <c r="J18" s="196">
        <v>48</v>
      </c>
      <c r="K18" s="196">
        <v>56</v>
      </c>
      <c r="L18" s="196">
        <v>153</v>
      </c>
      <c r="M18" s="196">
        <v>13</v>
      </c>
      <c r="N18" s="196">
        <v>16</v>
      </c>
      <c r="O18" s="196">
        <v>0</v>
      </c>
      <c r="P18" s="196">
        <v>0</v>
      </c>
      <c r="Q18" s="196">
        <v>0</v>
      </c>
      <c r="R18" s="196">
        <v>1</v>
      </c>
      <c r="S18" s="196">
        <v>153</v>
      </c>
      <c r="T18" s="196">
        <v>39</v>
      </c>
      <c r="U18" s="196">
        <v>44</v>
      </c>
      <c r="V18" s="196">
        <v>148</v>
      </c>
      <c r="W18" s="196">
        <v>5</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153</v>
      </c>
      <c r="AZ18" s="139">
        <f t="shared" si="15"/>
        <v>39</v>
      </c>
      <c r="BA18" s="139">
        <f t="shared" si="15"/>
        <v>44</v>
      </c>
      <c r="BB18" s="139">
        <f t="shared" si="15"/>
        <v>148</v>
      </c>
      <c r="BC18" s="135">
        <f>IF(ISNUMBER(W18),W18," - ")</f>
        <v>5</v>
      </c>
      <c r="BD18" s="136">
        <f>IF(ISNUMBER(BA18/AZ18),BA18/AZ18," - ")</f>
        <v>1.1282051282051282</v>
      </c>
      <c r="BE18" s="137">
        <f>IF(ISNUMBER(BB18/BA18),BB18/BA18, " - ")</f>
        <v>3.3636363636363638</v>
      </c>
      <c r="BF18" s="137">
        <f>IF(ISNUMBER(BC18/BA18),BC18/BA18, " - ")</f>
        <v>0.11363636363636363</v>
      </c>
      <c r="BG18" s="209">
        <f>IF(ISNUMBER((AY18+AZ18)/BA18),(AY18+AZ18)/BA18," - ")</f>
        <v>4.3636363636363633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1165</v>
      </c>
      <c r="J23" s="197">
        <f t="shared" si="21"/>
        <v>342</v>
      </c>
      <c r="K23" s="197">
        <f t="shared" si="21"/>
        <v>389</v>
      </c>
      <c r="L23" s="197">
        <f t="shared" si="21"/>
        <v>1099</v>
      </c>
      <c r="M23" s="197">
        <f t="shared" si="21"/>
        <v>59</v>
      </c>
      <c r="N23" s="197">
        <f t="shared" si="21"/>
        <v>228</v>
      </c>
      <c r="O23" s="197">
        <f t="shared" si="21"/>
        <v>0</v>
      </c>
      <c r="P23" s="197">
        <f t="shared" si="21"/>
        <v>10</v>
      </c>
      <c r="Q23" s="197">
        <f t="shared" si="21"/>
        <v>9</v>
      </c>
      <c r="R23" s="197">
        <f t="shared" si="21"/>
        <v>137</v>
      </c>
      <c r="S23" s="197">
        <f t="shared" si="21"/>
        <v>1504</v>
      </c>
      <c r="T23" s="197">
        <f t="shared" si="21"/>
        <v>302</v>
      </c>
      <c r="U23" s="197">
        <f t="shared" si="21"/>
        <v>303</v>
      </c>
      <c r="V23" s="197">
        <f t="shared" si="21"/>
        <v>1503</v>
      </c>
      <c r="W23" s="197">
        <f t="shared" si="21"/>
        <v>54</v>
      </c>
      <c r="X23" s="197">
        <f t="shared" si="21"/>
        <v>164</v>
      </c>
      <c r="Y23" s="197">
        <f t="shared" si="21"/>
        <v>0</v>
      </c>
      <c r="Z23" s="197">
        <f t="shared" si="21"/>
        <v>0</v>
      </c>
      <c r="AA23" s="197">
        <f t="shared" si="21"/>
        <v>0</v>
      </c>
      <c r="AB23" s="197">
        <f t="shared" si="21"/>
        <v>0</v>
      </c>
      <c r="AC23" s="197">
        <f t="shared" si="21"/>
        <v>1</v>
      </c>
      <c r="AD23" s="197">
        <f t="shared" si="21"/>
        <v>1</v>
      </c>
      <c r="AE23" s="197">
        <f t="shared" si="21"/>
        <v>0</v>
      </c>
      <c r="AF23" s="197">
        <f t="shared" si="21"/>
        <v>2</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1504</v>
      </c>
      <c r="AZ23" s="197">
        <f>SUBTOTAL(9,AZ15:AZ22)</f>
        <v>302</v>
      </c>
      <c r="BA23" s="197">
        <f>SUBTOTAL(9,BA15:BA22)</f>
        <v>303</v>
      </c>
      <c r="BB23" s="197">
        <f>SUBTOTAL(9,BB15:BB22)</f>
        <v>1503</v>
      </c>
      <c r="BC23" s="197">
        <f>SUBTOTAL(9,BC15:BC22)</f>
        <v>54</v>
      </c>
      <c r="BD23" s="219">
        <f>IF(ISNUMBER(BA23/AZ23),BA23/AZ23," - ")</f>
        <v>1.0033112582781456</v>
      </c>
      <c r="BE23" s="220">
        <f>IF(ISNUMBER(BB23/BA23),BB23/BA23, " - ")</f>
        <v>4.9603960396039604</v>
      </c>
      <c r="BF23" s="220">
        <f>IF(ISNUMBER(BC23/BA23),BC23/BA23, " - ")</f>
        <v>0.17821782178217821</v>
      </c>
      <c r="BG23" s="221">
        <f>IF(ISNUMBER((AY23+AZ23)/BA23),(AY23+AZ23)/BA23," - ")</f>
        <v>5.9603960396039604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2142</v>
      </c>
      <c r="J31" s="144">
        <f t="shared" si="36"/>
        <v>702</v>
      </c>
      <c r="K31" s="144">
        <f t="shared" si="36"/>
        <v>636</v>
      </c>
      <c r="L31" s="144">
        <f t="shared" si="36"/>
        <v>2185</v>
      </c>
      <c r="M31" s="144">
        <f t="shared" si="36"/>
        <v>97</v>
      </c>
      <c r="N31" s="144">
        <f t="shared" si="36"/>
        <v>359</v>
      </c>
      <c r="O31" s="144">
        <f t="shared" si="36"/>
        <v>104</v>
      </c>
      <c r="P31" s="144">
        <f t="shared" si="36"/>
        <v>84</v>
      </c>
      <c r="Q31" s="144">
        <f t="shared" si="36"/>
        <v>77</v>
      </c>
      <c r="R31" s="144">
        <f t="shared" si="36"/>
        <v>1774</v>
      </c>
      <c r="S31" s="144">
        <f t="shared" si="36"/>
        <v>2254</v>
      </c>
      <c r="T31" s="144">
        <f t="shared" si="36"/>
        <v>455</v>
      </c>
      <c r="U31" s="144">
        <f t="shared" si="36"/>
        <v>460</v>
      </c>
      <c r="V31" s="144">
        <f t="shared" si="36"/>
        <v>2249</v>
      </c>
      <c r="W31" s="144">
        <f t="shared" si="36"/>
        <v>108</v>
      </c>
      <c r="X31" s="144">
        <f t="shared" si="36"/>
        <v>242</v>
      </c>
      <c r="Y31" s="144">
        <f t="shared" si="36"/>
        <v>52</v>
      </c>
      <c r="Z31" s="144">
        <f t="shared" si="36"/>
        <v>12</v>
      </c>
      <c r="AA31" s="144">
        <f t="shared" si="36"/>
        <v>17</v>
      </c>
      <c r="AB31" s="144">
        <f t="shared" si="36"/>
        <v>47</v>
      </c>
      <c r="AC31" s="144">
        <f t="shared" si="36"/>
        <v>1</v>
      </c>
      <c r="AD31" s="144">
        <f t="shared" si="36"/>
        <v>1</v>
      </c>
      <c r="AE31" s="144">
        <f t="shared" si="36"/>
        <v>0</v>
      </c>
      <c r="AF31" s="144">
        <f t="shared" si="36"/>
        <v>2</v>
      </c>
      <c r="AG31" s="144">
        <f t="shared" si="36"/>
        <v>64</v>
      </c>
      <c r="AH31" s="144">
        <f t="shared" si="36"/>
        <v>12</v>
      </c>
      <c r="AI31" s="144">
        <f t="shared" si="36"/>
        <v>40</v>
      </c>
      <c r="AJ31" s="144">
        <f t="shared" si="36"/>
        <v>36</v>
      </c>
      <c r="AK31" s="144">
        <f t="shared" si="36"/>
        <v>0</v>
      </c>
      <c r="AL31" s="144">
        <f t="shared" si="36"/>
        <v>1</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2318</v>
      </c>
      <c r="AZ31" s="144">
        <f>SUBTOTAL(9,AZ9:AZ30)</f>
        <v>467</v>
      </c>
      <c r="BA31" s="144">
        <f>SUBTOTAL(9,BA9:BA30)</f>
        <v>500</v>
      </c>
      <c r="BB31" s="144">
        <f>SUBTOTAL(9,BB9:BB30)</f>
        <v>2285</v>
      </c>
      <c r="BC31" s="145">
        <f>SUBTOTAL(9,BC9:BC30)</f>
        <v>132</v>
      </c>
      <c r="BD31" s="227">
        <f>IF(ISNUMBER(BA31/AZ31),BA31/AZ31," - ")</f>
        <v>1.0706638115631693</v>
      </c>
      <c r="BE31" s="224">
        <f>IF(ISNUMBER(BB31/BA31),BB31/BA31, " - ")</f>
        <v>4.57</v>
      </c>
      <c r="BF31" s="224">
        <f>IF(ISNUMBER(BC31/BA31),BC31/BA31, " - ")</f>
        <v>0.26400000000000001</v>
      </c>
      <c r="BG31" s="145">
        <f>IF(ISNUMBER((AY31+AZ31)/BA31),(AY31+AZ31)/BA31," - ")</f>
        <v>5.57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efT+PRAKnBZxT197NQhOhbr839Zl8KXUbh4Z8h8z3QtQWaIJ819XQc0YwJc4OriOztQB+sOuvg49RERCOATA==" saltValue="DkoNx8Tpx+ZKD+RqUt/ep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Bi9PQclcXX5drzRMx1QoBj/OV0ySjEBAG5LDNEx/nNMk/QpmKFpcU126AemjExjTFtKTEX+hNb6HqNPbDA8kg==" saltValue="EKQmu0O8mKf9TNQZ1JIh3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JUMILLA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18</v>
      </c>
      <c r="G10" s="543">
        <f>IF(ISNUMBER(Datos!I10),Datos!I10," - ")</f>
        <v>18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31</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7.1428571428571425E-2</v>
      </c>
      <c r="BH10" s="764">
        <f>IF(ISNUMBER(((Datos!L10/Datos!K10)*11)/factor_trimestre),((Datos!L10/Datos!K10)*11)/factor_trimestre," - ")</f>
        <v>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47</v>
      </c>
      <c r="AI12" s="549" t="str">
        <f>IF(ISNUMBER(Datos!CD12),Datos!CD12,"-")</f>
        <v>-</v>
      </c>
      <c r="AJ12" s="549" t="str">
        <f>IF(ISNUMBER(Datos!EN12),Datos!EN12," - ")</f>
        <v xml:space="preserve"> - </v>
      </c>
      <c r="AK12" s="549"/>
      <c r="AL12" s="550"/>
      <c r="AM12" s="766">
        <f>IF(ISNUMBER(Datos!R12),Datos!R12," - ")</f>
        <v>1632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37</v>
      </c>
      <c r="BD12" s="693">
        <f>IF(ISNUMBER(Datos!N12),Datos!N12," - ")</f>
        <v>131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0.73463687150837986</v>
      </c>
      <c r="BH12" s="764">
        <f>IF(ISNUMBER(((IF(J_V="SI",Datos!L12/Datos!K12,(Datos!L12+Datos!AB12)/(Datos!K12+Datos!AA12)))*11)/factor_trimestre),((IF(J_V="SI",Datos!L12/Datos!K12,(Datos!L12+Datos!AB12)/(Datos!K12+Datos!AA12)))*11)/factor_trimestre," - ")</f>
        <v>12.570342205323195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2.4570024570024569E-3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18</v>
      </c>
      <c r="G14" s="1197">
        <f t="shared" si="1"/>
        <v>18</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68</v>
      </c>
      <c r="AD14" s="1198">
        <f t="shared" si="2"/>
        <v>0</v>
      </c>
      <c r="AE14" s="1198">
        <f t="shared" si="2"/>
        <v>0</v>
      </c>
      <c r="AF14" s="1198">
        <f t="shared" si="2"/>
        <v>31</v>
      </c>
      <c r="AG14" s="1198">
        <f t="shared" si="2"/>
        <v>0</v>
      </c>
      <c r="AH14" s="1198">
        <f t="shared" si="2"/>
        <v>47</v>
      </c>
      <c r="AI14" s="1198">
        <f t="shared" si="2"/>
        <v>0</v>
      </c>
      <c r="AJ14" s="1198">
        <f t="shared" si="2"/>
        <v>0</v>
      </c>
      <c r="AK14" s="1198">
        <f t="shared" si="2"/>
        <v>0</v>
      </c>
      <c r="AL14" s="1198">
        <f t="shared" si="2"/>
        <v>0</v>
      </c>
      <c r="AM14" s="1198">
        <f t="shared" si="2"/>
        <v>1637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38</v>
      </c>
      <c r="BD14" s="1198">
        <f t="shared" si="2"/>
        <v>131</v>
      </c>
      <c r="BE14" s="1198">
        <f t="shared" si="2"/>
        <v>0</v>
      </c>
      <c r="BF14" s="1198">
        <f t="shared" si="2"/>
        <v>0</v>
      </c>
      <c r="BG14" s="1198">
        <f>IF(ISNUMBER(Datos!K14/Datos!J14),Datos!K14/Datos!J14," - ")</f>
        <v>0.68611111111111112</v>
      </c>
      <c r="BH14" s="1202">
        <f>IF(ISNUMBER(((Datos!L14/Datos!K14)*11)/factor_trimestre),((Datos!L14/Datos!K14)*11)/factor_trimestre," - ")</f>
        <v>13.190283400809719</v>
      </c>
      <c r="BI14" s="1198">
        <f>IF(ISNUMBER('Resol  Asuntos'!D14/NºAsuntos!G14),'Resol  Asuntos'!D14/NºAsuntos!G14," - ")</f>
        <v>0.14393939393939395</v>
      </c>
      <c r="BJ14" s="1198" t="str">
        <f>IF(ISNUMBER(Datos!CI14/Datos!CJ14),Datos!CI14/Datos!CJ14," - ")</f>
        <v xml:space="preserve"> - </v>
      </c>
      <c r="BK14" s="1198">
        <f>SUBTOTAL(9,BK8:BK13)</f>
        <v>0</v>
      </c>
      <c r="BL14" s="1198">
        <f>IF(ISNUMBER((I14-AB14+L14)/(F14)),(I14-AB14+L14)/(F14)," - ")</f>
        <v>-5.5555555555555552E-2</v>
      </c>
      <c r="BM14" s="1203">
        <f>SUBTOTAL(9,BM9:BM13)</f>
        <v>0.66912366912366905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985</v>
      </c>
      <c r="G17" s="743">
        <f>IF(ISNUMBER(IF(D_I="SI",Datos!I17,Datos!I17+Datos!AC17)),IF(D_I="SI",Datos!I17,Datos!I17+Datos!AC17)," - ")</f>
        <v>1004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333</v>
      </c>
      <c r="AC17" s="240">
        <f>IF(ISNUMBER(Datos!Q17),Datos!Q17," - ")</f>
        <v>9</v>
      </c>
      <c r="AD17" s="374"/>
      <c r="AE17" s="562"/>
      <c r="AF17" s="741">
        <f>IF(ISNUMBER(IF(D_I="SI",Datos!L17,Datos!L17+Datos!AF17)),IF(D_I="SI",Datos!L17,Datos!L17+Datos!AF17)," - ")</f>
        <v>946</v>
      </c>
      <c r="AG17" s="374"/>
      <c r="AH17" s="374"/>
      <c r="AI17" s="374"/>
      <c r="AJ17" s="549"/>
      <c r="AK17" s="374"/>
      <c r="AL17" s="545"/>
      <c r="AM17" s="375">
        <f>IF(ISNUMBER(Datos!R17),Datos!R17," - ")</f>
        <v>136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212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1.1326530612244898</v>
      </c>
      <c r="BH17" s="764">
        <f>IF(ISNUMBER(((IF(D_I="SI",Datos!L17/Datos!K17,(Datos!L17+Datos!AF17)/(Datos!K17+Datos!AE17)))*11)/factor_trimestre),((IF(D_I="SI",Datos!L17/Datos!K17,(Datos!L17+Datos!AF17)/(Datos!K17+Datos!AE17)))*11)/factor_trimestre," - ")</f>
        <v>8.5225225225225234</v>
      </c>
      <c r="BI17" s="266">
        <f>IF(ISNUMBER('Resol  Asuntos'!D17/NºAsuntos!G17),'Resol  Asuntos'!D17/NºAsuntos!G17," - ")</f>
        <v>0.13813813813813813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153</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8.196428571428573</v>
      </c>
      <c r="BI18" s="763">
        <f>IF(ISNUMBER('Resol  Asuntos'!D18/NºAsuntos!G18),'Resol  Asuntos'!D18/NºAsuntos!G18," - ")</f>
        <v>0.23214285714285715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985</v>
      </c>
      <c r="G23" s="1197">
        <f>SUBTOTAL(9,G16:G22)</f>
        <v>1165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389</v>
      </c>
      <c r="AC23" s="1198">
        <f t="shared" si="5"/>
        <v>9</v>
      </c>
      <c r="AD23" s="1198">
        <f t="shared" si="5"/>
        <v>0</v>
      </c>
      <c r="AE23" s="1198">
        <f t="shared" si="5"/>
        <v>0</v>
      </c>
      <c r="AF23" s="1198">
        <f t="shared" si="5"/>
        <v>1099</v>
      </c>
      <c r="AG23" s="1198">
        <f t="shared" si="5"/>
        <v>0</v>
      </c>
      <c r="AH23" s="1198">
        <f t="shared" si="5"/>
        <v>0</v>
      </c>
      <c r="AI23" s="1198">
        <f t="shared" si="5"/>
        <v>0</v>
      </c>
      <c r="AJ23" s="1198">
        <f t="shared" si="5"/>
        <v>0</v>
      </c>
      <c r="AK23" s="1198">
        <f t="shared" si="5"/>
        <v>0</v>
      </c>
      <c r="AL23" s="1198">
        <f t="shared" si="5"/>
        <v>0</v>
      </c>
      <c r="AM23" s="1198">
        <f t="shared" si="5"/>
        <v>137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v>
      </c>
      <c r="BD23" s="1198">
        <f t="shared" si="5"/>
        <v>228</v>
      </c>
      <c r="BE23" s="1198">
        <f t="shared" si="5"/>
        <v>0</v>
      </c>
      <c r="BF23" s="1198">
        <f t="shared" si="5"/>
        <v>0</v>
      </c>
      <c r="BG23" s="1198">
        <f>IF(ISNUMBER(Datos!K23/Datos!J23),Datos!K23/Datos!J23," - ")</f>
        <v>1.1374269005847952</v>
      </c>
      <c r="BH23" s="1202">
        <f>IF(ISNUMBER(((Datos!L23/Datos!K23)*11)/factor_trimestre),((Datos!L23/Datos!K23)*11)/factor_trimestre," - ")</f>
        <v>8.4755784061696673</v>
      </c>
      <c r="BI23" s="1198">
        <f>SUBTOTAL(9,BI16:BI22)</f>
        <v>0.37028099528099528</v>
      </c>
      <c r="BJ23" s="1198">
        <f>SUBTOTAL(9,BJ16:BJ22)</f>
        <v>0</v>
      </c>
      <c r="BK23" s="1198">
        <f>SUBTOTAL(9,BK16:BK22)</f>
        <v>0</v>
      </c>
      <c r="BL23" s="1198">
        <f>IF(ISNUMBER((I23-AB23+L23)/(F23)),(I23-AB23+L23)/(F23)," - ")</f>
        <v>-0.39492385786802031</v>
      </c>
      <c r="BM23" s="1205">
        <f>IF(ISNUMBER((Datos!P23-Datos!Q23)/(Datos!R23-Datos!P23+Datos!Q23)),(Datos!P23-Datos!Q23)/(Datos!R23-Datos!P23+Datos!Q23)," - ")</f>
        <v>7.3529411764705881E-3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1003</v>
      </c>
      <c r="G31" s="1117">
        <f t="shared" si="18"/>
        <v>1183</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390</v>
      </c>
      <c r="AC31" s="1118">
        <f t="shared" si="19"/>
        <v>77</v>
      </c>
      <c r="AD31" s="1118">
        <f t="shared" si="19"/>
        <v>0</v>
      </c>
      <c r="AE31" s="1118">
        <f t="shared" si="19"/>
        <v>0</v>
      </c>
      <c r="AF31" s="1125">
        <f t="shared" si="19"/>
        <v>1130</v>
      </c>
      <c r="AG31" s="1125">
        <f t="shared" si="19"/>
        <v>0</v>
      </c>
      <c r="AH31" s="1125">
        <f t="shared" si="19"/>
        <v>47</v>
      </c>
      <c r="AI31" s="1125">
        <f t="shared" si="19"/>
        <v>0</v>
      </c>
      <c r="AJ31" s="1118">
        <f t="shared" si="19"/>
        <v>0</v>
      </c>
      <c r="AK31" s="1125">
        <f t="shared" si="19"/>
        <v>0</v>
      </c>
      <c r="AL31" s="1125">
        <f t="shared" si="19"/>
        <v>0</v>
      </c>
      <c r="AM31" s="1125">
        <f t="shared" si="19"/>
        <v>1774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97</v>
      </c>
      <c r="BD31" s="1117">
        <f t="shared" si="19"/>
        <v>359</v>
      </c>
      <c r="BE31" s="1117">
        <f t="shared" si="19"/>
        <v>0</v>
      </c>
      <c r="BF31" s="1127">
        <f t="shared" si="19"/>
        <v>0</v>
      </c>
      <c r="BG31" s="1223">
        <f>IF(ISNUMBER(Datos!K31/Datos!J31),Datos!K31/Datos!J31," - ")</f>
        <v>0.90598290598290598</v>
      </c>
      <c r="BH31" s="1223">
        <f>IF(ISNUMBER(((Datos!L31/Datos!K31)*11)/factor_trimestre),((Datos!L31/Datos!K31)*11)/factor_trimestre," - ")</f>
        <v>10.306603773584907</v>
      </c>
      <c r="BI31" s="1103">
        <f>IF(ISNUMBER(Datos!J31/Datos!I31),Datos!J31/Datos!I31," - ")</f>
        <v>0.32773109243697479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-0.38883349950149554</v>
      </c>
      <c r="BM31" s="1188">
        <f>IF(ISNUMBER((Datos!P31-Datos!Q31+R31)/(Datos!R31-Datos!P31+Datos!Q31-R31)),(Datos!P31-Datos!Q31+R31)/(Datos!R31-Datos!P31+Datos!Q31-R31)," - ")</f>
        <v>3.9615166949632146E-3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504.06851386162447</v>
      </c>
      <c r="G33" s="674">
        <f>IF(ISNUMBER(STDEV(G8:G30)),STDEV(G8:G30),"-")</f>
        <v>515.12166847584012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172.44985468521676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23.529616595747093</v>
      </c>
      <c r="BD33" s="673"/>
      <c r="BE33" s="673">
        <f>IF(ISNUMBER(STDEV(BE8:BE30)),STDEV(BE8:BE30),"-")</f>
        <v>0</v>
      </c>
      <c r="BF33" s="678">
        <f>IF(ISNUMBER(STDEV(BF8:BF30)),STDEV(BF8:BF30),"-")</f>
        <v>0</v>
      </c>
      <c r="BG33" s="1052">
        <f>IF(ISNUMBER(STDEV(BG8:BG30)),STDEV(BG8:BG30),"-")</f>
        <v>0.42526428561586943</v>
      </c>
      <c r="BH33" s="1058">
        <f>IF(ISNUMBER(STDEV(BH8:BH30)),STDEV(BH8:BH30),"-")</f>
        <v>33.878605519907623</v>
      </c>
      <c r="BI33" s="273">
        <f>IF(ISNUMBER(STDEV(BI8:BI30)),STDEV(BI8:BI30),"-")</f>
        <v>0.10834103735954705</v>
      </c>
      <c r="BJ33" s="244" t="str">
        <f>IF(ISNUMBER(BL33/BM33),BL33/BM33," - ")</f>
        <v xml:space="preserve"> - </v>
      </c>
      <c r="BK33" s="709"/>
      <c r="BL33" s="681">
        <f>IF(ISNUMBER(STDEV(BL8:BL30)),STDEV(BL8:BL30),"-")</f>
        <v>0.23996962788491014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Vn0waGjWPYrAa0MRmet83YoOwoZWPu7zq8KL0Mx8sLstb7B+/WZQMOEIZ6SoNBgSifnwOZ1xf+y3W/UeDuYGw==" saltValue="uLrWNVyxGKiwWMVy+OhC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JUMILLA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18</v>
      </c>
      <c r="G10" s="552">
        <f>IF(ISNUMBER(Datos!I10),Datos!I10," - ")</f>
        <v>18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31</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v>
      </c>
      <c r="AA12" s="551" t="str">
        <f>IF(ISNUMBER(IF(J_V="SI",Datos!L12,Datos!L12+Datos!AB12)-IF(Monitorios="SI",Datos!CD12,0)),
                          IF(J_V="SI",Datos!L12,Datos!L12+Datos!AB12)-IF(Monitorios="SI",Datos!CD12,0),
                          " - ")</f>
        <v xml:space="preserve"> - </v>
      </c>
      <c r="AB12" s="549"/>
      <c r="AC12" s="549"/>
      <c r="AD12" s="563"/>
      <c r="AE12" s="563">
        <f>IF(ISNUMBER(Datos!R12),Datos!R12," - ")</f>
        <v>1632</v>
      </c>
      <c r="AF12" s="693" t="str">
        <f>IF(ISNUMBER(Datos!BV12),Datos!BV12," - ")</f>
        <v xml:space="preserve"> - </v>
      </c>
      <c r="AG12" s="552" t="str">
        <f>IF(ISNUMBER(Datos!DV12),Datos!DV12," - ")</f>
        <v xml:space="preserve"> - </v>
      </c>
      <c r="AH12" s="553"/>
      <c r="AI12" s="554"/>
      <c r="AJ12" s="552">
        <f>IF(ISNUMBER(Datos!M12),Datos!M12," - ")</f>
        <v>37</v>
      </c>
      <c r="AK12" s="693">
        <f>IF(ISNUMBER(Datos!N12),Datos!N12," - ")</f>
        <v>131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12.570342205323195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2.4570024570024569E-3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18</v>
      </c>
      <c r="G14" s="1197">
        <f>SUBTOTAL(9,G8:G13)</f>
        <v>18</v>
      </c>
      <c r="H14" s="1211"/>
      <c r="I14" s="1197">
        <f t="shared" ref="I14:N14" si="1">SUBTOTAL(9,I8:I13)</f>
        <v>0</v>
      </c>
      <c r="J14" s="1164">
        <f t="shared" si="1"/>
        <v>0</v>
      </c>
      <c r="K14" s="1211">
        <f t="shared" si="1"/>
        <v>0</v>
      </c>
      <c r="L14" s="1211">
        <f t="shared" si="1"/>
        <v>0</v>
      </c>
      <c r="M14" s="1211">
        <f t="shared" si="1"/>
        <v>0</v>
      </c>
      <c r="N14" s="1211">
        <f t="shared" si="1"/>
        <v>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68</v>
      </c>
      <c r="AA14" s="1199">
        <f t="shared" si="3"/>
        <v>31</v>
      </c>
      <c r="AB14" s="1199">
        <f t="shared" si="3"/>
        <v>0</v>
      </c>
      <c r="AC14" s="1199">
        <f t="shared" si="3"/>
        <v>0</v>
      </c>
      <c r="AD14" s="1199">
        <f t="shared" si="3"/>
        <v>0</v>
      </c>
      <c r="AE14" s="1199">
        <f t="shared" si="3"/>
        <v>1637</v>
      </c>
      <c r="AF14" s="1211">
        <f t="shared" si="3"/>
        <v>0</v>
      </c>
      <c r="AG14" s="1211">
        <f t="shared" si="3"/>
        <v>0</v>
      </c>
      <c r="AH14" s="1211">
        <f t="shared" si="3"/>
        <v>0</v>
      </c>
      <c r="AI14" s="1211">
        <f t="shared" si="3"/>
        <v>0</v>
      </c>
      <c r="AJ14" s="1211">
        <f t="shared" si="3"/>
        <v>38</v>
      </c>
      <c r="AK14" s="1211">
        <f t="shared" si="3"/>
        <v>131</v>
      </c>
      <c r="AL14" s="1211">
        <f t="shared" si="3"/>
        <v>0</v>
      </c>
      <c r="AM14" s="1211">
        <f t="shared" si="3"/>
        <v>0</v>
      </c>
      <c r="AN14" s="1211">
        <f t="shared" si="3"/>
        <v>0</v>
      </c>
      <c r="AO14" s="1203">
        <f>IF(ISNUMBER(((NºAsuntos!I14/NºAsuntos!G14)*11)/factor_trimestre),((NºAsuntos!I14/NºAsuntos!G14)*11)/factor_trimestre," - ")</f>
        <v>12.875000000000002</v>
      </c>
      <c r="AP14" s="1213" t="str">
        <f>IF(ISNUMBER(Datos!CI14/Datos!CJ14),Datos!CI14/Datos!CJ14," - ")</f>
        <v xml:space="preserve"> - </v>
      </c>
      <c r="AQ14" s="1236">
        <f t="shared" ref="AQ14:AV14" si="4">SUBTOTAL(9,AQ9:AQ13)</f>
        <v>0</v>
      </c>
      <c r="AR14" s="1236">
        <f t="shared" si="4"/>
        <v>0.66912366912366905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985</v>
      </c>
      <c r="G17" s="552">
        <f>IF(ISNUMBER(IF(D_I="SI",Datos!I17,Datos!I17+Datos!AC17)),IF(D_I="SI",Datos!I17,Datos!I17+Datos!AC17)," - ")</f>
        <v>1004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333</v>
      </c>
      <c r="Z17" s="805">
        <f>IF(ISNUMBER(Datos!Q17),Datos!Q17," - ")</f>
        <v>9</v>
      </c>
      <c r="AA17" s="551">
        <f>IF(ISNUMBER(IF(D_I="SI",Datos!L17,Datos!L17+Datos!AF17)),IF(D_I="SI",Datos!L17,Datos!L17+Datos!AF17)," - ")</f>
        <v>946</v>
      </c>
      <c r="AB17" s="549"/>
      <c r="AC17" s="549"/>
      <c r="AD17" s="563"/>
      <c r="AE17" s="563">
        <f>IF(ISNUMBER(Datos!R17),Datos!R17," - ")</f>
        <v>136</v>
      </c>
      <c r="AF17" s="693" t="str">
        <f>IF(ISNUMBER(Datos!BV17),Datos!BV17," - ")</f>
        <v xml:space="preserve"> - </v>
      </c>
      <c r="AG17" s="552"/>
      <c r="AH17" s="553"/>
      <c r="AI17" s="554"/>
      <c r="AJ17" s="552">
        <f>IF(ISNUMBER(Datos!M17),Datos!M17," - ")</f>
        <v>46</v>
      </c>
      <c r="AK17" s="693">
        <f>IF(ISNUMBER(Datos!N17),Datos!N17," - ")</f>
        <v>212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8.5225225225225234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153</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13</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8.196428571428573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985</v>
      </c>
      <c r="G23" s="1197">
        <f>SUBTOTAL(9,G16:G22)</f>
        <v>1165</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389</v>
      </c>
      <c r="Z23" s="1240">
        <f t="shared" si="6"/>
        <v>9</v>
      </c>
      <c r="AA23" s="1240">
        <f t="shared" si="6"/>
        <v>1099</v>
      </c>
      <c r="AB23" s="1240">
        <f t="shared" si="6"/>
        <v>0</v>
      </c>
      <c r="AC23" s="1240">
        <f t="shared" si="6"/>
        <v>0</v>
      </c>
      <c r="AD23" s="1240">
        <f t="shared" si="6"/>
        <v>0</v>
      </c>
      <c r="AE23" s="1240">
        <f t="shared" si="6"/>
        <v>137</v>
      </c>
      <c r="AF23" s="1240">
        <f t="shared" si="6"/>
        <v>0</v>
      </c>
      <c r="AG23" s="1240">
        <f t="shared" si="6"/>
        <v>0</v>
      </c>
      <c r="AH23" s="1240">
        <f t="shared" si="6"/>
        <v>0</v>
      </c>
      <c r="AI23" s="1240">
        <f t="shared" si="6"/>
        <v>0</v>
      </c>
      <c r="AJ23" s="1240">
        <f t="shared" si="6"/>
        <v>59</v>
      </c>
      <c r="AK23" s="1240">
        <f t="shared" si="6"/>
        <v>228</v>
      </c>
      <c r="AL23" s="1240">
        <f t="shared" si="6"/>
        <v>0</v>
      </c>
      <c r="AM23" s="1240">
        <f t="shared" si="6"/>
        <v>0</v>
      </c>
      <c r="AN23" s="1240">
        <f t="shared" si="6"/>
        <v>0</v>
      </c>
      <c r="AO23" s="1242">
        <f>IF(ISNUMBER(((NºAsuntos!I23/NºAsuntos!G23)*11)/factor_trimestre),((NºAsuntos!I23/NºAsuntos!G23)*11)/factor_trimestre," - ")</f>
        <v>8.4755784061696673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1003</v>
      </c>
      <c r="G31" s="1117">
        <f t="shared" si="12"/>
        <v>1183</v>
      </c>
      <c r="H31" s="1118">
        <f t="shared" si="12"/>
        <v>0</v>
      </c>
      <c r="I31" s="1117">
        <f t="shared" si="12"/>
        <v>0</v>
      </c>
      <c r="J31" s="1119">
        <f t="shared" si="12"/>
        <v>0</v>
      </c>
      <c r="K31" s="1117">
        <f t="shared" si="12"/>
        <v>0</v>
      </c>
      <c r="L31" s="1120">
        <f t="shared" si="12"/>
        <v>0</v>
      </c>
      <c r="M31" s="1117">
        <f t="shared" si="12"/>
        <v>0</v>
      </c>
      <c r="N31" s="1118">
        <f t="shared" si="12"/>
        <v>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390</v>
      </c>
      <c r="Z31" s="1124">
        <f t="shared" si="13"/>
        <v>77</v>
      </c>
      <c r="AA31" s="1125">
        <f t="shared" si="13"/>
        <v>1130</v>
      </c>
      <c r="AB31" s="1125">
        <f t="shared" si="13"/>
        <v>0</v>
      </c>
      <c r="AC31" s="1125">
        <f t="shared" si="13"/>
        <v>0</v>
      </c>
      <c r="AD31" s="1126">
        <f t="shared" si="13"/>
        <v>0</v>
      </c>
      <c r="AE31" s="1126">
        <f t="shared" si="13"/>
        <v>1774</v>
      </c>
      <c r="AF31" s="1127">
        <f t="shared" si="13"/>
        <v>0</v>
      </c>
      <c r="AG31" s="1128">
        <f t="shared" si="13"/>
        <v>0</v>
      </c>
      <c r="AH31" s="1129">
        <f t="shared" si="13"/>
        <v>0</v>
      </c>
      <c r="AI31" s="1127">
        <f t="shared" si="13"/>
        <v>0</v>
      </c>
      <c r="AJ31" s="1117">
        <f t="shared" si="13"/>
        <v>97</v>
      </c>
      <c r="AK31" s="1117">
        <f t="shared" si="13"/>
        <v>359</v>
      </c>
      <c r="AL31" s="1117">
        <f t="shared" si="13"/>
        <v>0</v>
      </c>
      <c r="AM31" s="1130">
        <f t="shared" si="13"/>
        <v>0</v>
      </c>
      <c r="AN31" s="1120">
        <f>IF(ISNUMBER(Datos!K31/Datos!J31),Datos!K31/Datos!J31," - ")</f>
        <v>0.90598290598290598</v>
      </c>
      <c r="AO31" s="1120">
        <f>IF(ISNUMBER(FIND("06",Criterios!A8,1)),(IF(ISNUMBER(((Datos!R31/Datos!Q31)*11)/factor_trimestre),((Datos!R31/Datos!Q31)*11)/factor_trimestre," - ")),(IF(ISNUMBER(((Datos!L31/Datos!K31)*11)/factor_trimestre),((Datos!L31/Datos!K31)*11)/factor_trimestre," - ")))</f>
        <v>10.306603773584907</v>
      </c>
      <c r="AP31" s="1131" t="str">
        <f>IF(ISNUMBER(Datos!CI31/Datos!CJ31),Datos!CI31/Datos!CJ31," - ")</f>
        <v xml:space="preserve"> - </v>
      </c>
      <c r="AQ31" s="1131">
        <f>IF(OR(ISNUMBER(FIND("01",Criterios!A8,1)),ISNUMBER(FIND("02",Criterios!A8,1)),ISNUMBER(FIND("03",Criterios!A8,1)),ISNUMBER(FIND("04",Criterios!A8,1))),(J31-Y31+K31)/(F31-K31),(I31-Y31+K31)/(F31-K31))</f>
        <v>-0.38883349950149554</v>
      </c>
      <c r="AR31" s="1131">
        <f>IF(ISNUMBER((Datos!P31-Datos!Q31+O31)/(Datos!R31-Datos!P31+Datos!Q31-O31)),(Datos!P31-Datos!Q31+O31)/(Datos!R31-Datos!P31+Datos!Q31-O31)," - ")</f>
        <v>3.9615166949632146E-3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504.06851386162447</v>
      </c>
      <c r="G33" s="674">
        <f>IF(ISNUMBER(STDEV(G8:G30)),STDEV(G8:G30),"-")</f>
        <v>515.12166847584012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23.529616595747093</v>
      </c>
      <c r="AK33" s="276"/>
      <c r="AL33" s="276">
        <f>IF(ISNUMBER(STDEV(AL8:AL30)),STDEV(AL8:AL30),"-")</f>
        <v>0</v>
      </c>
      <c r="AM33" s="278">
        <f>IF(ISNUMBER(STDEV(AM8:AM30)),STDEV(AM8:AM30),"-")</f>
        <v>0</v>
      </c>
      <c r="AN33" s="660">
        <f>IF(ISNUMBER(STDEV(AN8:AN30)),STDEV(AN8:AN30),"-")</f>
        <v>0</v>
      </c>
      <c r="AO33" s="661">
        <f>IF(ISNUMBER(STDEV(AO8:AO30)),STDEV(AO8:AO30),"-")</f>
        <v>33.898949634736752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FUhnO8UVSwp2Pxgp6ZNghs/3HcqoSkT3djK62AiTzc2eqduMNRST7OyjaAM3g/VvKJwmUmdPg7VxHgWFRyJ9w==" saltValue="3x5CKq+rax2zY15NnNsa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KzfoKZNn/yq1tl3K0ojOhOGoj+oxqFw4vYCKUWJdupPN4iwFO4LamtXWnusyXm/Ph9Glwc6a06SK5QWFKSFGQ==" saltValue="F2P6e/j1v9iZjBJj4G1k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PQvwOnAVwx2NeZT0CX3qgb15IbpmRyIL0ouKXcRwVuXiqV8t2wQ2s72wsWpDJOo1AgOx1gyBV+MQfP8ZqvVaQ==" saltValue="n4FRsgfD927AvT2EqYmYr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JUMILLA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0.14393939393939395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0.10178052153442731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6+AnYmCyqsKWAEPkXrepCTan4JtY+OfK6UGCKlj/+ydJC7jTgJPLNDMCu+rMZYesVNVQk3V52FGqwyGu2UsRg==" saltValue="BG+T2lkXJMmdDf0qL0PH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Gq3bM6NaKUaNhLrLL4eW9Ve5dbgCcX6mdvc9HPT3XlPWsD9T3NdcOQnzamk0JKinSDMYlZHv5qx79mACUGKUQ==" saltValue="vgUvt10YKJ3CEdJPYGei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JUMILLA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18</v>
      </c>
      <c r="D10" s="452">
        <f>IF(ISNUMBER(C10/Datos!BH10),C10/Datos!BH10," - ")</f>
        <v>18</v>
      </c>
      <c r="E10" s="451">
        <f>IF(ISNUMBER(Datos!J10),Datos!J10," - ")</f>
        <v>14</v>
      </c>
      <c r="F10" s="452">
        <f>IF(ISNUMBER(E10/B10),E10/B10," - ")</f>
        <v>14</v>
      </c>
      <c r="G10" s="451">
        <f>IF(ISNUMBER(Datos!K10),Datos!K10," - ")</f>
        <v>1</v>
      </c>
      <c r="H10" s="452">
        <f>IF(ISNUMBER(G10/B10),G10/B10," - ")</f>
        <v>1</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1011</v>
      </c>
      <c r="D12" s="452">
        <f>IF(ISNUMBER(C12/Datos!BH12),C12/Datos!BH12," - ")</f>
        <v>505.5</v>
      </c>
      <c r="E12" s="451">
        <f>IF(ISNUMBER(IF(J_V="SI",Datos!J12,Datos!J12+Datos!Z12)),IF(J_V="SI",Datos!J12,Datos!J12+Datos!Z12)," - ")</f>
        <v>358</v>
      </c>
      <c r="F12" s="452">
        <f>IF(ISNUMBER(E12/B12),E12/B12," - ")</f>
        <v>179</v>
      </c>
      <c r="G12" s="451">
        <f>IF(ISNUMBER(IF(J_V="SI",Datos!K12,Datos!K12+Datos!AA12)),IF(J_V="SI",Datos!K12,Datos!K12+Datos!AA12)," - ")</f>
        <v>263</v>
      </c>
      <c r="H12" s="452">
        <f>IF(ISNUMBER(G12/B12),G12/B12," - ")</f>
        <v>131.5</v>
      </c>
      <c r="I12" s="451">
        <f>IF(ISNUMBER(IF(J_V="SI",Datos!L12,Datos!L12+Datos!AB12)),IF(J_V="SI",Datos!L12,Datos!L12+Datos!AB12)," - ")</f>
        <v>1102</v>
      </c>
      <c r="J12" s="452">
        <f>IF(ISNUMBER(I12/B12),I12/B12," - ")</f>
        <v>551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1029</v>
      </c>
      <c r="D14" s="1147" t="str">
        <f>IF(ISNUMBER(C14/Datos!BI14),C14/Datos!BI14," - ")</f>
        <v xml:space="preserve"> - </v>
      </c>
      <c r="E14" s="1146">
        <f>SUBTOTAL(9,E8:E13)</f>
        <v>372</v>
      </c>
      <c r="F14" s="1147">
        <f>IF(ISNUMBER(E14/B14),E14/B14," - ")</f>
        <v>186</v>
      </c>
      <c r="G14" s="1146">
        <f>SUBTOTAL(9,G8:G13)</f>
        <v>264</v>
      </c>
      <c r="H14" s="1147">
        <f>IF(ISNUMBER(G14/B14),G14/B14," - ")</f>
        <v>132</v>
      </c>
      <c r="I14" s="1146">
        <f>SUBTOTAL(9,I8:I13)</f>
        <v>1133</v>
      </c>
      <c r="J14" s="1147">
        <f>IF(ISNUMBER(I14/B14),I14/B14," - ")</f>
        <v>566.5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1004</v>
      </c>
      <c r="D17" s="452">
        <f>IF(ISNUMBER(C17/Datos!BH17),C17/Datos!BH17," - ")</f>
        <v>502</v>
      </c>
      <c r="E17" s="451">
        <f>IF(ISNUMBER(IF(D_I="SI",Datos!J17,Datos!J17+Datos!AD17)),IF(D_I="SI",Datos!J17,Datos!J17+Datos!AD17)," - ")</f>
        <v>294</v>
      </c>
      <c r="F17" s="452">
        <f>IF(ISNUMBER(E17/B17),E17/B17," - ")</f>
        <v>147</v>
      </c>
      <c r="G17" s="451">
        <f>IF(ISNUMBER(IF(D_I="SI",Datos!K17,Datos!K17+Datos!AE17)),IF(D_I="SI",Datos!K17,Datos!K17+Datos!AE17)," - ")</f>
        <v>333</v>
      </c>
      <c r="H17" s="452">
        <f>IF(ISNUMBER(G17/B17),G17/B17," - ")</f>
        <v>166.5</v>
      </c>
      <c r="I17" s="451">
        <f>IF(ISNUMBER(IF(D_I="SI",Datos!L17,Datos!L17+Datos!AF17)),IF(D_I="SI",Datos!L17,Datos!L17+Datos!AF17)," - ")</f>
        <v>946</v>
      </c>
      <c r="J17" s="452">
        <f>IF(ISNUMBER(I17/B17),I17/B17," - ")</f>
        <v>473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161</v>
      </c>
      <c r="D18" s="452">
        <f>IF(ISNUMBER(C18/Datos!BH18),C18/Datos!BH18," - ")</f>
        <v>161</v>
      </c>
      <c r="E18" s="451">
        <f>IF(ISNUMBER(IF(D_I="SI",Datos!J18,Datos!J18+Datos!AD18)),IF(D_I="SI",Datos!J18,Datos!J18+Datos!AD18)," - ")</f>
        <v>48</v>
      </c>
      <c r="F18" s="452">
        <f>IF(ISNUMBER(E18/B18),E18/B18," - ")</f>
        <v>48</v>
      </c>
      <c r="G18" s="451">
        <f>IF(ISNUMBER(IF(D_I="SI",Datos!K18,Datos!K18+Datos!AE18)),IF(D_I="SI",Datos!K18,Datos!K18+Datos!AE18)," - ")</f>
        <v>56</v>
      </c>
      <c r="H18" s="452">
        <f>IF(ISNUMBER(G18/B18),G18/B18," - ")</f>
        <v>56</v>
      </c>
      <c r="I18" s="451">
        <f>IF(ISNUMBER(IF(D_I="SI",Datos!L18,Datos!L18+Datos!AF18)),IF(D_I="SI",Datos!L18,Datos!L18+Datos!AF18)," - ")</f>
        <v>153</v>
      </c>
      <c r="J18" s="452">
        <f>IF(ISNUMBER(I18/B18),I18/B18," - ")</f>
        <v>153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1165</v>
      </c>
      <c r="D23" s="1147" t="str">
        <f>IF(ISNUMBER(C23/Datos!BI23),C23/Datos!BI23," - ")</f>
        <v xml:space="preserve"> - </v>
      </c>
      <c r="E23" s="1146">
        <f>SUBTOTAL(9,E15:E22)</f>
        <v>342</v>
      </c>
      <c r="F23" s="1147">
        <f>IF(ISNUMBER(E23/B23),E23/B23," - ")</f>
        <v>171</v>
      </c>
      <c r="G23" s="1146">
        <f>SUBTOTAL(9,G15:G22)</f>
        <v>389</v>
      </c>
      <c r="H23" s="1147">
        <f>IF(ISNUMBER(G23/B23),G23/B23," - ")</f>
        <v>194.5</v>
      </c>
      <c r="I23" s="1146">
        <f>SUBTOTAL(9,I15:I22)</f>
        <v>1099</v>
      </c>
      <c r="J23" s="1147">
        <f>IF(ISNUMBER(I23/B23),I23/B23," - ")</f>
        <v>549.5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2194</v>
      </c>
      <c r="D31" s="1085" t="str">
        <f>IF(ISNUMBER(C31/Datos!BI31),C31/Datos!BI31," - ")</f>
        <v xml:space="preserve"> - </v>
      </c>
      <c r="E31" s="1084">
        <f>SUBTOTAL(9,E9:E30)</f>
        <v>714</v>
      </c>
      <c r="F31" s="1085">
        <f>IF(ISNUMBER(E31/B31),E31/B31," - ")</f>
        <v>357</v>
      </c>
      <c r="G31" s="1084">
        <f>SUBTOTAL(9,G9:G30)</f>
        <v>653</v>
      </c>
      <c r="H31" s="1085">
        <f>IF(ISNUMBER(G31/B31),G31/B31," - ")</f>
        <v>326.5</v>
      </c>
      <c r="I31" s="1084">
        <f>SUBTOTAL(9,I9:I30)</f>
        <v>2232</v>
      </c>
      <c r="J31" s="1085">
        <f>IF(ISNUMBER(I31/B31),I31/B31," - ")</f>
        <v>1116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mPzjH7IBlTNDTUH0a7Jq76AODvu5OZ/gidSSlv2CcD3EsGyLy48dDkHPNryagCk0KbLund8xFSibljts4kaw==" saltValue="d0tPwdsBwaQqEmK92HCq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JUMILLA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18</v>
      </c>
      <c r="G10" s="906">
        <f>IF(ISNUMBER(Datos!I10),Datos!I10," - ")</f>
        <v>18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37</v>
      </c>
      <c r="AM12" s="914">
        <f>IF(ISNUMBER(Datos!N12+DatosP!N17),Datos!N12+DatosP!N17," - ")</f>
        <v>131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12.570342205323195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2.4570024570024569E-3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18</v>
      </c>
      <c r="G14" s="1256">
        <f t="shared" si="0"/>
        <v>18</v>
      </c>
      <c r="H14" s="1256">
        <f t="shared" si="0"/>
        <v>0</v>
      </c>
      <c r="I14" s="1258">
        <f t="shared" si="0"/>
        <v>0</v>
      </c>
      <c r="J14" s="1257">
        <f t="shared" si="0"/>
        <v>0</v>
      </c>
      <c r="K14" s="1257">
        <f t="shared" si="0"/>
        <v>0</v>
      </c>
      <c r="L14" s="1259">
        <f t="shared" si="0"/>
        <v>0</v>
      </c>
      <c r="M14" s="1259">
        <f t="shared" si="0"/>
        <v>0</v>
      </c>
      <c r="N14" s="1257">
        <f t="shared" si="0"/>
        <v>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68</v>
      </c>
      <c r="AE14" s="1257">
        <f t="shared" si="1"/>
        <v>0</v>
      </c>
      <c r="AF14" s="1257">
        <f t="shared" si="1"/>
        <v>31</v>
      </c>
      <c r="AG14" s="1257">
        <f t="shared" si="1"/>
        <v>0</v>
      </c>
      <c r="AH14" s="1257">
        <f t="shared" si="1"/>
        <v>1632</v>
      </c>
      <c r="AI14" s="1257">
        <f t="shared" si="1"/>
        <v>0</v>
      </c>
      <c r="AJ14" s="1257">
        <f t="shared" si="1"/>
        <v>0</v>
      </c>
      <c r="AK14" s="1257">
        <f t="shared" si="1"/>
        <v>0</v>
      </c>
      <c r="AL14" s="1257">
        <f t="shared" si="1"/>
        <v>38</v>
      </c>
      <c r="AM14" s="1257">
        <f t="shared" si="1"/>
        <v>131</v>
      </c>
      <c r="AN14" s="1257">
        <f t="shared" si="1"/>
        <v>0</v>
      </c>
      <c r="AO14" s="1257">
        <f t="shared" si="1"/>
        <v>0</v>
      </c>
      <c r="AP14" s="1262">
        <f>IF(ISNUMBER(((Datos!L14/Datos!K14)*11)/factor_trimestre),((Datos!L14/Datos!K14)*11)/factor_trimestre," - ")</f>
        <v>13.190283400809719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-5.5555555555555552E-2</v>
      </c>
      <c r="AU14" s="1257" t="str">
        <f>IF(ISNUMBER((DatosP!#REF!-DatosP!#REF!+DatosP!#REF!)/(DatosP!#REF!+DatosP!#REF!-DatosP!#REF!-DatosP!#REF!)),(DatosP!#REF!-DatosP!#REF!+DatosP!#REF!)/(DatosP!#REF!+DatosP!#REF!-DatosP!#REF!-DatosP!#REF!)," - ")</f>
        <v xml:space="preserve"> - </v>
      </c>
      <c r="AV14" s="1263">
        <f>SUBTOTAL(9,AV9:AV13)</f>
        <v>2.4570024570024569E-3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8.4755784061696673</v>
      </c>
      <c r="AQ23" s="1262">
        <f>IF(ISNUMBER(((Datos!M23/Datos!L23)*11)/factor_trimestre),((Datos!M23/Datos!L23)*11)/factor_trimestre," - ")</f>
        <v>0.1610555050045496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7.3529411764705881E-3</v>
      </c>
      <c r="AW23" s="1265">
        <f>IF(ISNUMBER((Datos!Q23-Datos!R23)/(Datos!S23-Datos!Q23+Datos!R23)),(Datos!Q23-Datos!R23)/(Datos!S23-Datos!Q23+Datos!R23)," - ")</f>
        <v>-7.8431372549019607E-2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18</v>
      </c>
      <c r="G31" s="1278">
        <f t="shared" si="8"/>
        <v>18</v>
      </c>
      <c r="H31" s="1278">
        <f t="shared" si="8"/>
        <v>0</v>
      </c>
      <c r="I31" s="1279">
        <f t="shared" si="8"/>
        <v>0</v>
      </c>
      <c r="J31" s="1280">
        <f t="shared" si="8"/>
        <v>0</v>
      </c>
      <c r="K31" s="1280">
        <f t="shared" si="8"/>
        <v>0</v>
      </c>
      <c r="L31" s="1280">
        <f t="shared" si="8"/>
        <v>0</v>
      </c>
      <c r="M31" s="1280">
        <f t="shared" si="8"/>
        <v>0</v>
      </c>
      <c r="N31" s="1279">
        <f t="shared" si="8"/>
        <v>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68</v>
      </c>
      <c r="AE31" s="1284">
        <f t="shared" si="9"/>
        <v>0</v>
      </c>
      <c r="AF31" s="1285">
        <f t="shared" si="9"/>
        <v>31</v>
      </c>
      <c r="AG31" s="1285">
        <f t="shared" si="9"/>
        <v>0</v>
      </c>
      <c r="AH31" s="1285">
        <f t="shared" si="9"/>
        <v>1632</v>
      </c>
      <c r="AI31" s="1285">
        <f t="shared" si="9"/>
        <v>0</v>
      </c>
      <c r="AJ31" s="1286">
        <f t="shared" si="9"/>
        <v>0</v>
      </c>
      <c r="AK31" s="1286">
        <f t="shared" si="9"/>
        <v>0</v>
      </c>
      <c r="AL31" s="1278">
        <f t="shared" si="9"/>
        <v>38</v>
      </c>
      <c r="AM31" s="1278">
        <f t="shared" si="9"/>
        <v>131</v>
      </c>
      <c r="AN31" s="1278">
        <f t="shared" si="9"/>
        <v>0</v>
      </c>
      <c r="AO31" s="1278">
        <f t="shared" si="9"/>
        <v>0</v>
      </c>
      <c r="AP31" s="1278">
        <f>IF(ISNUMBER(((Datos!L31/Datos!K31)*11)/factor_trimestre),((Datos!L31/Datos!K31)*11)/factor_trimestre," - ")</f>
        <v>10.306603773584907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-5.5555555555555552E-2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3.9615166949632146E-3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9.8590060350929907</v>
      </c>
      <c r="G33" s="1007">
        <f>IF(ISNUMBER(STDEV(G8:G30)),STDEV(G8:G30),"-")</f>
        <v>9.8590060350929907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19.242314483103812</v>
      </c>
      <c r="AM33" s="1006"/>
      <c r="AN33" s="1006">
        <f>IF(ISNUMBER(STDEV(AN8:AN30)),STDEV(AN8:AN30),"-")</f>
        <v>0</v>
      </c>
      <c r="AO33" s="1012">
        <f>IF(ISNUMBER(STDEV(AO8:AO30)),STDEV(AO8:AO30),"-")</f>
        <v>0</v>
      </c>
      <c r="AP33" s="1065">
        <f>IF(ISNUMBER(STDEV(AP8:AP30)),STDEV(AP8:AP30),"-")</f>
        <v>40.84756053836697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8InFYGcKaZo6WLprZPvGa9TLo8tuGFvSJbwUpKjB4sHQL4nZlc7emmjEO+ZeL+dpqqX02n68F+8iICVbpWVcQ==" saltValue="qasS+ZhcAKJAc99eQXVk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JUMILLA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QJxnaupvPpSA8O1aVIiSu+wLMLe5VX1yKnz55OyJ6uirZI2dC8unpWZAMPYrfkNc8+pDml4q6e7ac34s7fsMA==" saltValue="8X0h1gkiwCfSNJoIL4+65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JUMILLA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37</v>
      </c>
      <c r="E12" s="452">
        <f t="shared" si="0"/>
        <v>18.5</v>
      </c>
      <c r="F12" s="451">
        <f>IF(ISNUMBER(Datos!N12),Datos!N12," - ")</f>
        <v>131</v>
      </c>
      <c r="G12" s="452">
        <f t="shared" si="1"/>
        <v>65.5</v>
      </c>
      <c r="H12" s="451">
        <f>IF(ISNUMBER(Datos!O12),Datos!O12," - ")</f>
        <v>104</v>
      </c>
      <c r="I12" s="452">
        <f t="shared" si="2"/>
        <v>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38</v>
      </c>
      <c r="E14" s="1147">
        <f t="shared" si="0"/>
        <v>12.666666666666666</v>
      </c>
      <c r="F14" s="1146">
        <f>SUBTOTAL(9,F9:F13)</f>
        <v>131</v>
      </c>
      <c r="G14" s="1147">
        <f t="shared" si="1"/>
        <v>43.666666666666664</v>
      </c>
      <c r="H14" s="1146">
        <f>SUBTOTAL(9,H9:H13)</f>
        <v>104</v>
      </c>
      <c r="I14" s="1147">
        <f>IF(ISNUMBER(H14/B14),H14/B14," - ")</f>
        <v>34.666666666666664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46</v>
      </c>
      <c r="E17" s="452">
        <f t="shared" si="3"/>
        <v>23</v>
      </c>
      <c r="F17" s="451">
        <f>IF(ISNUMBER(Datos!N17),Datos!N17," - ")</f>
        <v>212</v>
      </c>
      <c r="G17" s="452">
        <f t="shared" si="4"/>
        <v>106</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59</v>
      </c>
      <c r="E23" s="1147">
        <f t="shared" si="3"/>
        <v>19.666666666666668</v>
      </c>
      <c r="F23" s="1146">
        <f>SUBTOTAL(9,F16:F22)</f>
        <v>228</v>
      </c>
      <c r="G23" s="1147">
        <f t="shared" si="4"/>
        <v>76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97</v>
      </c>
      <c r="E31" s="1085">
        <f>IF(ISNUMBER(D31/B31),D31/B31," - ")</f>
        <v>48.5</v>
      </c>
      <c r="F31" s="1084">
        <f>SUBTOTAL(9,F8:F30)</f>
        <v>359</v>
      </c>
      <c r="G31" s="1085">
        <f>IF(ISNUMBER(F31/B31),F31/B31," - ")</f>
        <v>179.5</v>
      </c>
      <c r="H31" s="1084">
        <f>SUBTOTAL(9,H8:H30)</f>
        <v>104</v>
      </c>
      <c r="I31" s="1085">
        <f>IF(ISNUMBER(H31/B31),H31/B31," - ")</f>
        <v>52</v>
      </c>
    </row>
    <row r="34" spans="1:1">
      <c r="A34" s="439" t="str">
        <f>Criterios!A4</f>
        <v>Fecha Informe: 06 may. 2023</v>
      </c>
    </row>
    <row r="39" spans="1:1">
      <c r="A39" s="462"/>
    </row>
  </sheetData>
  <sheetProtection algorithmName="SHA-512" hashValue="pluJnmv4IPPnG/C26lk65MA/VwziMEZEewU7NhwFWBkuC+PX92jWk+jV1NbSw3/qOFCmJN0Es3LvOfIB0l8PtA==" saltValue="YGtqebxATZfPzIUxwTgE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JUMILLA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72</v>
      </c>
      <c r="C12" s="489">
        <f>IF(ISNUMBER(Datos!Q12),Datos!Q12," - ")</f>
        <v>68</v>
      </c>
      <c r="D12" s="456">
        <f>IF(ISNUMBER(Datos!R12),Datos!R12," - ")</f>
        <v>1632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74</v>
      </c>
      <c r="C14" s="1150">
        <f>SUBTOTAL(9,C9:C13)</f>
        <v>68</v>
      </c>
      <c r="D14" s="1148">
        <f>SUBTOTAL(9,D9:D13)</f>
        <v>1637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9</v>
      </c>
      <c r="D17" s="456">
        <f>IF(ISNUMBER(Datos!R17),Datos!R17," - ")</f>
        <v>136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9</v>
      </c>
      <c r="D23" s="1148">
        <f>SUBTOTAL(9,D16:D22)</f>
        <v>137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84</v>
      </c>
      <c r="C31" s="1089">
        <f>SUBTOTAL(9,C8:C30)</f>
        <v>77</v>
      </c>
      <c r="D31" s="1090">
        <f>SUBTOTAL(9,D8:D30)</f>
        <v>1774</v>
      </c>
    </row>
    <row r="32" spans="1:4" ht="7.5" customHeight="1"/>
    <row r="33" spans="1:1" ht="6" customHeight="1"/>
    <row r="34" spans="1:1">
      <c r="A34" s="439" t="str">
        <f>Criterios!A4</f>
        <v>Fecha Informe: 06 may. 2023</v>
      </c>
    </row>
    <row r="39" spans="1:1">
      <c r="A39" s="462"/>
    </row>
  </sheetData>
  <sheetProtection algorithmName="SHA-512" hashValue="fm8UidoRB3r9N6WH5rWdtgCRAdiXmSTRpXT0esiNRueOV3mtD0XQm5IMwVNZJioh1MVM+3C5MQquFYMzIBkzZg==" saltValue="36Bzke0QDHXUVICb5w/h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JUMILLA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0.63636363636363635</v>
      </c>
      <c r="C10" s="515">
        <f>IF(ISNUMBER((Datos!J10-Datos!T10)/Datos!T10),(Datos!J10-Datos!T10)/Datos!T10," - ")</f>
        <v>2.5</v>
      </c>
      <c r="D10" s="515" t="str">
        <f>IF(ISNUMBER((Datos!K10-Datos!U10)/Datos!U10),(Datos!K10-Datos!U10)/Datos!U10," - ")</f>
        <v xml:space="preserve"> - </v>
      </c>
      <c r="E10" s="515">
        <f>IF(ISNUMBER((Datos!L10-Datos!V10)/Datos!V10),(Datos!L10-Datos!V10)/Datos!V10," - ")</f>
        <v>1.0666666666666667</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0.25902864259028641</v>
      </c>
      <c r="C12" s="515">
        <f>IF(ISNUMBER(
   IF(J_V="SI",(Datos!J12-Datos!T12)/Datos!T12,(Datos!J12+Datos!Z12-(Datos!T12+Datos!AH12))/(Datos!T12+Datos!AH12))
     ),IF(J_V="SI",(Datos!J12-Datos!T12)/Datos!T12,(Datos!J12+Datos!Z12-(Datos!T12+Datos!AH12))/(Datos!T12+Datos!AH12))," - ")</f>
        <v>1.2236024844720497</v>
      </c>
      <c r="D12" s="515">
        <f>IF(ISNUMBER(
   IF(J_V="SI",(Datos!K12-Datos!U12)/Datos!U12,(Datos!K12+Datos!AA12-(Datos!U12+Datos!AI12))/(Datos!U12+Datos!AI12))
     ),IF(J_V="SI",(Datos!K12-Datos!U12)/Datos!U12,(Datos!K12+Datos!AA12-(Datos!U12+Datos!AI12))/(Datos!U12+Datos!AI12))," - ")</f>
        <v>0.3350253807106599</v>
      </c>
      <c r="E12" s="515">
        <f>IF(ISNUMBER(
   IF(J_V="SI",(Datos!L12-Datos!V12)/Datos!V12,(Datos!L12+Datos!AB12-(Datos!V12+Datos!AJ12))/(Datos!V12+Datos!AJ12))
     ),IF(J_V="SI",(Datos!L12-Datos!V12)/Datos!V12,(Datos!L12+Datos!AB12-(Datos!V12+Datos!AJ12))/(Datos!V12+Datos!AJ12))," - ")</f>
        <v>0.4367666232073012</v>
      </c>
      <c r="F12" s="515">
        <f>IF(ISNUMBER((Datos!M12-Datos!W12)/Datos!W12),(Datos!M12-Datos!W12)/Datos!W12," - ")</f>
        <v>-0.31481481481481483</v>
      </c>
      <c r="G12" s="516">
        <f>IF(ISNUMBER((Datos!N12-Datos!X12)/Datos!X12),(Datos!N12-Datos!X12)/Datos!X12," - ")</f>
        <v>0.67948717948717952</v>
      </c>
      <c r="H12" s="514">
        <f>IF(ISNUMBER(((NºAsuntos!G12/NºAsuntos!E12)-Datos!BD12)/Datos!BD12),((NºAsuntos!G12/NºAsuntos!E12)-Datos!BD12)/Datos!BD12," - ")</f>
        <v>-0.39961149079772001</v>
      </c>
      <c r="I12" s="515">
        <f>IF(ISNUMBER(((NºAsuntos!I12/NºAsuntos!G12)-Datos!BE12)/Datos!BE12),((NºAsuntos!I12/NºAsuntos!G12)-Datos!BE12)/Datos!BE12," - ")</f>
        <v>7.6209219664784542E-2</v>
      </c>
      <c r="J12" s="521">
        <f>IF(ISNUMBER((('Resol  Asuntos'!D12/NºAsuntos!G12)-Datos!BF12)/Datos!BF12),(('Resol  Asuntos'!D12/NºAsuntos!G12)-Datos!BF12)/Datos!BF12," - ")</f>
        <v>-0.64468168080335375</v>
      </c>
      <c r="K12" s="522">
        <f>IF(ISNUMBER((((NºAsuntos!C12+NºAsuntos!E12)/NºAsuntos!G12)-Datos!BG12)/Datos!BG12),(((NºAsuntos!C12+NºAsuntos!E12)/NºAsuntos!G12)-Datos!BG12)/Datos!BG12," - ")</f>
        <v>6.3743432781660642E-2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0.26412776412776412</v>
      </c>
      <c r="C14" s="1152">
        <f>IF(ISNUMBER(
   IF(J_V="SI",(Datos!J14-Datos!T14)/Datos!T14,(Datos!J14+Datos!Z14-(Datos!T14+Datos!AH14))/(Datos!T14+Datos!AH14))
     ),IF(J_V="SI",(Datos!J14-Datos!T14)/Datos!T14,(Datos!J14+Datos!Z14-(Datos!T14+Datos!AH14))/(Datos!T14+Datos!AH14))," - ")</f>
        <v>1.2545454545454546</v>
      </c>
      <c r="D14" s="1152">
        <f>IF(ISNUMBER(
   IF(J_V="SI",(Datos!K14-Datos!U14)/Datos!U14,(Datos!K14+Datos!AA14-(Datos!U14+Datos!AI14))/(Datos!U14+Datos!AI14))
     ),IF(J_V="SI",(Datos!K14-Datos!U14)/Datos!U14,(Datos!K14+Datos!AA14-(Datos!U14+Datos!AI14))/(Datos!U14+Datos!AI14))," - ")</f>
        <v>0.34010152284263961</v>
      </c>
      <c r="E14" s="1152">
        <f>IF(ISNUMBER(
   IF(J_V="SI",(Datos!L14-Datos!V14)/Datos!V14,(Datos!L14+Datos!AB14-(Datos!V14+Datos!AJ14))/(Datos!V14+Datos!AJ14))
     ),IF(J_V="SI",(Datos!L14-Datos!V14)/Datos!V14,(Datos!L14+Datos!AB14-(Datos!V14+Datos!AJ14))/(Datos!V14+Datos!AJ14))," - ")</f>
        <v>0.44884910485933505</v>
      </c>
      <c r="F14" s="1153">
        <f>IF(ISNUMBER((Datos!M14-Datos!W14)/Datos!W14),(Datos!M14-Datos!W14)/Datos!W14," - ")</f>
        <v>-0.29629629629629628</v>
      </c>
      <c r="G14" s="1154">
        <f>IF(ISNUMBER((Datos!N14-Datos!X14)/Datos!X14),(Datos!N14-Datos!X14)/Datos!X14," - ")</f>
        <v>0.67948717948717952</v>
      </c>
      <c r="H14" s="1154">
        <f>IF(ISNUMBER(((NºAsuntos!G14/NºAsuntos!E14)-Datos!BD14)/Datos!BD14),((NºAsuntos!G14/NºAsuntos!E14)-Datos!BD14)/Datos!BD14," - ")</f>
        <v>-0.40560013099721626</v>
      </c>
      <c r="I14" s="1154">
        <f>IF(ISNUMBER(((NºAsuntos!I14/NºAsuntos!G14)-Datos!BE14)/Datos!BE14),((NºAsuntos!I14/NºAsuntos!G14)-Datos!BE14)/Datos!BE14," - ")</f>
        <v>8.1148763853367473E-2</v>
      </c>
      <c r="J14" s="1154">
        <f>IF(ISNUMBER((('Resol  Asuntos'!D14/NºAsuntos!G14)-Datos!BF14)/Datos!BF14),(('Resol  Asuntos'!D14/NºAsuntos!G14)-Datos!BF14)/Datos!BF14," - ")</f>
        <v>-0.63646076146076136</v>
      </c>
      <c r="K14" s="1154">
        <f>IF(ISNUMBER((((NºAsuntos!C14+NºAsuntos!E14)/NºAsuntos!G14)-Datos!BG14)/Datos!BG14),(((NºAsuntos!C14+NºAsuntos!E14)/NºAsuntos!G14)-Datos!BG14)/Datos!BG14," - ")</f>
        <v>6.7868418608970138E-2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-0.25684678016284235</v>
      </c>
      <c r="C17" s="515">
        <f>IF(ISNUMBER(
   IF(D_I="SI",(Datos!J17-Datos!T17)/Datos!T17,(Datos!J17+Datos!AD17-(Datos!T17+Datos!AL17))/(Datos!T17+Datos!AL17))
     ),IF(D_I="SI",(Datos!J17-Datos!T17)/Datos!T17,(Datos!J17+Datos!AD17-(Datos!T17+Datos!AL17))/(Datos!T17+Datos!AL17))," - ")</f>
        <v>0.11787072243346007</v>
      </c>
      <c r="D17" s="515">
        <f>IF(ISNUMBER(
   IF(D_I="SI",(Datos!K17-Datos!U17)/Datos!U17,(Datos!K17+Datos!AE17-(Datos!U17+Datos!AM17))/(Datos!U17+Datos!AM17))
     ),IF(D_I="SI",(Datos!K17-Datos!U17)/Datos!U17,(Datos!K17+Datos!AE17-(Datos!U17+Datos!AM17))/(Datos!U17+Datos!AM17))," - ")</f>
        <v>0.2857142857142857</v>
      </c>
      <c r="E17" s="515">
        <f>IF(ISNUMBER(
   IF(D_I="SI",(Datos!L17-Datos!V17)/Datos!V17,(Datos!L17+Datos!AF17-(Datos!V17+Datos!AN17))/(Datos!V17+Datos!AN17))
     ),IF(D_I="SI",(Datos!L17-Datos!V17)/Datos!V17,(Datos!L17+Datos!AF17-(Datos!V17+Datos!AN17))/(Datos!V17+Datos!AN17))," - ")</f>
        <v>-0.30184501845018452</v>
      </c>
      <c r="F17" s="515">
        <f>IF(ISNUMBER((Datos!M17-Datos!W17)/Datos!W17),(Datos!M17-Datos!W17)/Datos!W17," - ")</f>
        <v>-6.1224489795918366E-2</v>
      </c>
      <c r="G17" s="516">
        <f>IF(ISNUMBER((Datos!N17-Datos!X17)/Datos!X17),(Datos!N17-Datos!X17)/Datos!X17," - ")</f>
        <v>0.57037037037037042</v>
      </c>
      <c r="H17" s="514">
        <f>IF(ISNUMBER(((NºAsuntos!G17/NºAsuntos!E17)-Datos!BD17)/Datos!BD17),((NºAsuntos!G17/NºAsuntos!E17)-Datos!BD17)/Datos!BD17," - ")</f>
        <v>0.15014577259475226</v>
      </c>
      <c r="I17" s="515">
        <f>IF(ISNUMBER(((NºAsuntos!I17/NºAsuntos!G17)-Datos!BE17)/Datos!BE17),((NºAsuntos!I17/NºAsuntos!G17)-Datos!BE17)/Datos!BE17," - ")</f>
        <v>-0.45699056990569908</v>
      </c>
      <c r="J17" s="521">
        <f>IF(ISNUMBER((('Resol  Asuntos'!D17/NºAsuntos!G17)-Datos!BF17)/Datos!BF17),(('Resol  Asuntos'!D17/NºAsuntos!G17)-Datos!BF17)/Datos!BF17," - ")</f>
        <v>-0.26984126984126988</v>
      </c>
      <c r="K17" s="522">
        <f>IF(ISNUMBER((((NºAsuntos!C17+NºAsuntos!E17)/NºAsuntos!G17)-Datos!BG17)/Datos!BG17),(((NºAsuntos!C17+NºAsuntos!E17)/NºAsuntos!G17)-Datos!BG17)/Datos!BG17," - ")</f>
        <v>-0.37450089494699168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5.2287581699346407E-2</v>
      </c>
      <c r="C18" s="515">
        <f>IF(ISNUMBER(
   IF(D_I="SI",(Datos!J18-Datos!T18)/Datos!T18,(Datos!J18+Datos!AD18-(Datos!T18+Datos!AL18))/(Datos!T18+Datos!AL18))
     ),IF(D_I="SI",(Datos!J18-Datos!T18)/Datos!T18,(Datos!J18+Datos!AD18-(Datos!T18+Datos!AL18))/(Datos!T18+Datos!AL18))," - ")</f>
        <v>0.23076923076923078</v>
      </c>
      <c r="D18" s="515">
        <f>IF(ISNUMBER(
   IF(D_I="SI",(Datos!K18-Datos!U18)/Datos!U18,(Datos!K18+Datos!AE18-(Datos!U18+Datos!AM18))/(Datos!U18+Datos!AM18))
     ),IF(D_I="SI",(Datos!K18-Datos!U18)/Datos!U18,(Datos!K18+Datos!AE18-(Datos!U18+Datos!AM18))/(Datos!U18+Datos!AM18))," - ")</f>
        <v>0.27272727272727271</v>
      </c>
      <c r="E18" s="515">
        <f>IF(ISNUMBER(
   IF(D_I="SI",(Datos!L18-Datos!V18)/Datos!V18,(Datos!L18+Datos!AF18-(Datos!V18+Datos!AN18))/(Datos!V18+Datos!AN18))
     ),IF(D_I="SI",(Datos!L18-Datos!V18)/Datos!V18,(Datos!L18+Datos!AF18-(Datos!V18+Datos!AN18))/(Datos!V18+Datos!AN18))," - ")</f>
        <v>3.3783783783783786E-2</v>
      </c>
      <c r="F18" s="515">
        <f>IF(ISNUMBER((Datos!M18-Datos!W18)/Datos!W18),(Datos!M18-Datos!W18)/Datos!W18," - ")</f>
        <v>1.6</v>
      </c>
      <c r="G18" s="516">
        <f>IF(ISNUMBER((Datos!N18-Datos!X18)/Datos!X18),(Datos!N18-Datos!X18)/Datos!X18," - ")</f>
        <v>-0.44827586206896552</v>
      </c>
      <c r="H18" s="514">
        <f>IF(ISNUMBER(((NºAsuntos!G18/NºAsuntos!E18)-Datos!BD18)/Datos!BD18),((NºAsuntos!G18/NºAsuntos!E18)-Datos!BD18)/Datos!BD18," - ")</f>
        <v>3.4090909090909165E-2</v>
      </c>
      <c r="I18" s="515">
        <f>IF(ISNUMBER(((NºAsuntos!I18/NºAsuntos!G18)-Datos!BE18)/Datos!BE18),((NºAsuntos!I18/NºAsuntos!G18)-Datos!BE18)/Datos!BE18," - ")</f>
        <v>-0.18774131274131275</v>
      </c>
      <c r="J18" s="521">
        <f>IF(ISNUMBER((('Resol  Asuntos'!D18/NºAsuntos!G18)-Datos!BF18)/Datos!BF18),(('Resol  Asuntos'!D18/NºAsuntos!G18)-Datos!BF18)/Datos!BF18," - ")</f>
        <v>1.0428571428571429</v>
      </c>
      <c r="K18" s="522">
        <f>IF(ISNUMBER((((NºAsuntos!C18+NºAsuntos!E18)/NºAsuntos!G18)-Datos!BG18)/Datos!BG18),(((NºAsuntos!C18+NºAsuntos!E18)/NºAsuntos!G18)-Datos!BG18)/Datos!BG18," - ")</f>
        <v>-0.14471726190476183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-0.22539893617021275</v>
      </c>
      <c r="C23" s="1152">
        <f>IF(ISNUMBER(
   IF(Criterios!B14="SI",(Datos!J23-Datos!T23)/Datos!T23,(Datos!J23+Datos!AD23-(Datos!T23+Datos!AL23))/(Datos!T23+Datos!AL23))
     ),IF(Criterios!B14="SI",(Datos!J23-Datos!T23)/Datos!T23,(Datos!J23+Datos!AD23-(Datos!T23+Datos!AL23))/(Datos!T23+Datos!AL23))," - ")</f>
        <v>0.13245033112582782</v>
      </c>
      <c r="D23" s="1152">
        <f>IF(ISNUMBER(
   IF(Criterios!B14="SI",(Datos!K23-Datos!U23)/Datos!U23,(Datos!K23+Datos!AE23-(Datos!U23+Datos!AM23))/(Datos!U23+Datos!AM23))
     ),IF(Criterios!B14="SI",(Datos!K23-Datos!U23)/Datos!U23,(Datos!K23+Datos!AE23-(Datos!U23+Datos!AM23))/(Datos!U23+Datos!AM23))," - ")</f>
        <v>0.28382838283828382</v>
      </c>
      <c r="E23" s="1152">
        <f>IF(ISNUMBER(
   IF(Criterios!B14="SI",(Datos!L23-Datos!V23)/Datos!V23,(Datos!L23+Datos!AF23-(Datos!V23+Datos!AN23))/(Datos!V23+Datos!AN23))
     ),IF(Criterios!B14="SI",(Datos!L23-Datos!V23)/Datos!V23,(Datos!L23+Datos!AF23-(Datos!V23+Datos!AN23))/(Datos!V23+Datos!AN23))," - ")</f>
        <v>-0.26879574184963406</v>
      </c>
      <c r="F23" s="1153">
        <f>IF(ISNUMBER((Datos!M23-Datos!W23)/Datos!W23),(Datos!M23-Datos!W23)/Datos!W23," - ")</f>
        <v>9.2592592592592587E-2</v>
      </c>
      <c r="G23" s="1154">
        <f>IF(ISNUMBER((Datos!N23-Datos!X23)/Datos!X23),(Datos!N23-Datos!X23)/Datos!X23," - ")</f>
        <v>0.3902439024390244</v>
      </c>
      <c r="H23" s="1154">
        <f>IF(ISNUMBER(((NºAsuntos!G23/NºAsuntos!E23)-Datos!BD23)/Datos!BD23),((NºAsuntos!G23/NºAsuntos!E23)-Datos!BD23)/Datos!BD23," - ")</f>
        <v>0.13367301642444948</v>
      </c>
      <c r="I23" s="1154">
        <f>IF(ISNUMBER(((NºAsuntos!I23/NºAsuntos!G23)-Datos!BE23)/Datos!BE23),((NºAsuntos!I23/NºAsuntos!G23)-Datos!BE23)/Datos!BE23," - ")</f>
        <v>-0.43045015367722139</v>
      </c>
      <c r="J23" s="1154">
        <f>IF(ISNUMBER((('Resol  Asuntos'!D23/NºAsuntos!G23)-Datos!BF23)/Datos!BF23),(('Resol  Asuntos'!D23/NºAsuntos!G23)-Datos!BF23)/Datos!BF23," - ")</f>
        <v>-0.14895744073121961</v>
      </c>
      <c r="K23" s="1154">
        <f>IF(ISNUMBER((((NºAsuntos!C23+NºAsuntos!E23)/NºAsuntos!G23)-Datos!BG23)/Datos!BG23),(((NºAsuntos!C23+NºAsuntos!E23)/NºAsuntos!G23)-Datos!BG23)/Datos!BG23," - ")</f>
        <v>-0.35003715122684448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-5.3494391716997408E-2</v>
      </c>
      <c r="C31" s="1092">
        <f>IF(ISNUMBER(
   IF(J_V="SI",(Datos!J31-Datos!T31)/Datos!T31,(Datos!J31+Datos!Z31-(Datos!T31+Datos!AH31))/(Datos!T31+Datos!AH31))
     ),IF(J_V="SI",(Datos!J31-Datos!T31)/Datos!T31,(Datos!J31+Datos!Z31-(Datos!T31+Datos!AH31))/(Datos!T31+Datos!AH31))," - ")</f>
        <v>0.52890792291220556</v>
      </c>
      <c r="D31" s="1092">
        <f>IF(ISNUMBER(
   IF(J_V="SI",(Datos!K31-Datos!U31)/Datos!U31,(Datos!K31+Datos!AA31-(Datos!U31+Datos!AI31))/(Datos!U31+Datos!AI31))
     ),IF(J_V="SI",(Datos!K31-Datos!U31)/Datos!U31,(Datos!K31+Datos!AA31-(Datos!U31+Datos!AI31))/(Datos!U31+Datos!AI31))," - ")</f>
        <v>0.30599999999999999</v>
      </c>
      <c r="E31" s="1092">
        <f>IF(ISNUMBER(
   IF(J_V="SI",(Datos!L31-Datos!V31)/Datos!V31,(Datos!L31+Datos!AB31-(Datos!V31+Datos!AJ31))/(Datos!V31+Datos!AJ31))
     ),IF(J_V="SI",(Datos!L31-Datos!V31)/Datos!V31,(Datos!L31+Datos!AB31-(Datos!V31+Datos!AJ31))/(Datos!V31+Datos!AJ31))," - ")</f>
        <v>-2.3194748358862146E-2</v>
      </c>
      <c r="F31" s="1093">
        <f>IF(ISNUMBER((Datos!M31-Datos!W31)/Datos!W31),(Datos!M31-Datos!W31)/Datos!W31," - ")</f>
        <v>-0.10185185185185185</v>
      </c>
      <c r="G31" s="1094">
        <f>IF(ISNUMBER((Datos!N31-Datos!X31)/Datos!X31),(Datos!N31-Datos!X31)/Datos!X31," - ")</f>
        <v>0.48347107438016529</v>
      </c>
      <c r="H31" s="1095">
        <f>IF(ISNUMBER((Tasas!B31-Datos!BD31)/Datos!BD31),(Tasas!B31-Datos!BD31)/Datos!BD31," - ")</f>
        <v>-0.14579551820728301</v>
      </c>
      <c r="I31" s="1096">
        <f>IF(ISNUMBER((Tasas!C31-Datos!BE31)/Datos!BE31),(Tasas!C31-Datos!BE31)/Datos!BE31," - ")</f>
        <v>-0.2520633601522681</v>
      </c>
      <c r="J31" s="1097">
        <f>IF(ISNUMBER((Tasas!D31-Datos!BF31)/Datos!BF31),(Tasas!D31-Datos!BF31)/Datos!BF31," - ")</f>
        <v>-0.43732887837022605</v>
      </c>
      <c r="K31" s="1097">
        <f>IF(ISNUMBER((Tasas!E31-Datos!BG31)/Datos!BG31),(Tasas!E31-Datos!BG31)/Datos!BG31," - ")</f>
        <v>-0.20048608686328268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YgJThYSWavvpdtufPwY5vSDjTA/hh8YuxC5G07Pg/J3CwyD06bAx8CLiqNoQb7kmfyF9oCIiZTQImzW/MTpiQ==" saltValue="hAjH1Y92vefKafoA7BOc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JUMILLA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7.1428571428571425E-2</v>
      </c>
      <c r="C10" s="498">
        <f>IF(ISNUMBER(NºAsuntos!I10/NºAsuntos!G10),NºAsuntos!I10/NºAsuntos!G10," - ")</f>
        <v>31</v>
      </c>
      <c r="D10" s="499">
        <f>IF(ISNUMBER('Resol  Asuntos'!D10/NºAsuntos!G10),'Resol  Asuntos'!D10/NºAsuntos!G10," - ")</f>
        <v>1</v>
      </c>
      <c r="E10" s="500">
        <f>IF(ISNUMBER((NºAsuntos!C10+NºAsuntos!E10)/NºAsuntos!G10),(NºAsuntos!C10+NºAsuntos!E10)/NºAsuntos!G10," - ")</f>
        <v>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0.73463687150837986</v>
      </c>
      <c r="C12" s="498">
        <f>IF(ISNUMBER(NºAsuntos!I12/NºAsuntos!G12),NºAsuntos!I12/NºAsuntos!G12," - ")</f>
        <v>4.1901140684410647</v>
      </c>
      <c r="D12" s="499">
        <f>IF(ISNUMBER('Resol  Asuntos'!D12/NºAsuntos!G12),'Resol  Asuntos'!D12/NºAsuntos!G12," - ")</f>
        <v>0.14068441064638784</v>
      </c>
      <c r="E12" s="500">
        <f>IF(ISNUMBER((NºAsuntos!C12+NºAsuntos!E12)/NºAsuntos!G12),(NºAsuntos!C12+NºAsuntos!E12)/NºAsuntos!G12," - ")</f>
        <v>5.2053231939163496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0.70967741935483875</v>
      </c>
      <c r="C14" s="1156">
        <f>IF(ISNUMBER(NºAsuntos!I14/NºAsuntos!G14),NºAsuntos!I14/NºAsuntos!G14," - ")</f>
        <v>4.291666666666667</v>
      </c>
      <c r="D14" s="1157">
        <f>IF(ISNUMBER('Resol  Asuntos'!D14/NºAsuntos!G14),'Resol  Asuntos'!D14/NºAsuntos!G14," - ")</f>
        <v>0.14393939393939395</v>
      </c>
      <c r="E14" s="1158">
        <f>IF(ISNUMBER((NºAsuntos!C14+NºAsuntos!E14)/NºAsuntos!G14),(NºAsuntos!C14+NºAsuntos!E14)/NºAsuntos!G14," - ")</f>
        <v>5.3068181818181817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1.1326530612244898</v>
      </c>
      <c r="C17" s="498">
        <f>IF(ISNUMBER(NºAsuntos!I17/NºAsuntos!G17),NºAsuntos!I17/NºAsuntos!G17," - ")</f>
        <v>2.840840840840841</v>
      </c>
      <c r="D17" s="499">
        <f>IF(ISNUMBER('Resol  Asuntos'!D17/NºAsuntos!G17),'Resol  Asuntos'!D17/NºAsuntos!G17," - ")</f>
        <v>0.13813813813813813</v>
      </c>
      <c r="E17" s="500">
        <f>IF(ISNUMBER((NºAsuntos!C17+NºAsuntos!E17)/NºAsuntos!G17),(NºAsuntos!C17+NºAsuntos!E17)/NºAsuntos!G17," - ")</f>
        <v>3.8978978978978978</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2.7321428571428572</v>
      </c>
      <c r="D18" s="499">
        <f>IF(ISNUMBER('Resol  Asuntos'!D18/NºAsuntos!G18),'Resol  Asuntos'!D18/NºAsuntos!G18," - ")</f>
        <v>0.23214285714285715</v>
      </c>
      <c r="E18" s="500">
        <f>IF(ISNUMBER((NºAsuntos!C18+NºAsuntos!E18)/NºAsuntos!G18),(NºAsuntos!C18+NºAsuntos!E18)/NºAsuntos!G18," - ")</f>
        <v>3.7321428571428572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1.1374269005847952</v>
      </c>
      <c r="C23" s="1156">
        <f>IF(ISNUMBER(NºAsuntos!I23/NºAsuntos!G23),NºAsuntos!I23/NºAsuntos!G23," - ")</f>
        <v>2.8251928020565553</v>
      </c>
      <c r="D23" s="1159">
        <f>IF(ISNUMBER('Resol  Asuntos'!D23/NºAsuntos!G23),'Resol  Asuntos'!D23/NºAsuntos!G23," - ")</f>
        <v>0.15167095115681234</v>
      </c>
      <c r="E23" s="1158">
        <f>IF(ISNUMBER((NºAsuntos!C23+NºAsuntos!E23)/NºAsuntos!G23),(NºAsuntos!C23+NºAsuntos!E23)/NºAsuntos!G23," - ")</f>
        <v>3.8740359897172238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0.91456582633053218</v>
      </c>
      <c r="C31" s="1099">
        <f>IF(ISNUMBER(NºAsuntos!I31/NºAsuntos!G31),NºAsuntos!I31/NºAsuntos!G31," - ")</f>
        <v>3.418070444104135</v>
      </c>
      <c r="D31" s="1100">
        <f>IF(ISNUMBER('Resol  Asuntos'!D31/NºAsuntos!G31),'Resol  Asuntos'!D31/NºAsuntos!G31," - ")</f>
        <v>0.14854517611026033</v>
      </c>
      <c r="E31" s="1101">
        <f>IF(ISNUMBER((NºAsuntos!C31+NºAsuntos!E31)/NºAsuntos!G31),(NºAsuntos!C31+NºAsuntos!E31)/NºAsuntos!G31," - ")</f>
        <v>4.4532924961715157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R/7bx6sVS/MeRGGap928ld58OXJAdptgCZIXHaIAmCwA/wBy4D47pR6RKu287Ecc4Bk3lqEMfGK3l8HXiCxgg==" saltValue="4CmhCXIIZhR+wPv6CVTZ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JUMILLA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18</v>
      </c>
      <c r="G10" s="373">
        <f>IF(ISNUMBER(Datos!I10),Datos!I10," - ")</f>
        <v>18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31</v>
      </c>
      <c r="AB10" s="374">
        <f>IF(ISNUMBER(Datos!R10),Datos!R10," - ")</f>
        <v>5</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7.1428571428571425E-2</v>
      </c>
      <c r="AM10" s="284">
        <f>IF(ISNUMBER(((NºAsuntos!I10/NºAsuntos!G10)*11)/factor_trimestre),((NºAsuntos!I10/NºAsuntos!G10)*11)/factor_trimestre," - ")</f>
        <v>93</v>
      </c>
      <c r="AN10" s="267">
        <f>IF(ISNUMBER('Resol  Asuntos'!D10/NºAsuntos!G10),'Resol  Asuntos'!D10/NºAsuntos!G10," - ")</f>
        <v>1</v>
      </c>
      <c r="AO10" s="268">
        <f>IF(ISNUMBER((NºAsuntos!C10+NºAsuntos!E10)/NºAsuntos!G10),(NºAsuntos!C10+NºAsuntos!E10)/NºAsuntos!G10," - ")</f>
        <v>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v>
      </c>
      <c r="Y12" s="374">
        <f t="shared" si="0"/>
        <v>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37</v>
      </c>
      <c r="AJ12" s="243" t="str">
        <f>IF(ISNUMBER(Datos!BW12),Datos!BW12," - ")</f>
        <v xml:space="preserve"> - </v>
      </c>
      <c r="AK12" s="242" t="str">
        <f>IF(ISNUMBER(Datos!BX12),Datos!BX12," - ")</f>
        <v xml:space="preserve"> - </v>
      </c>
      <c r="AL12" s="266">
        <f>IF(ISNUMBER(NºAsuntos!G12/NºAsuntos!E12),NºAsuntos!G12/NºAsuntos!E12," - ")</f>
        <v>0.73463687150837986</v>
      </c>
      <c r="AM12" s="284">
        <f>IF(ISNUMBER(((NºAsuntos!I12/NºAsuntos!G12)*11)/factor_trimestre),((NºAsuntos!I12/NºAsuntos!G12)*11)/factor_trimestre," - ")</f>
        <v>12.570342205323195</v>
      </c>
      <c r="AN12" s="267">
        <f>IF(ISNUMBER('Resol  Asuntos'!D12/NºAsuntos!G12),'Resol  Asuntos'!D12/NºAsuntos!G12," - ")</f>
        <v>0.14068441064638784</v>
      </c>
      <c r="AO12" s="268">
        <f>IF(ISNUMBER((NºAsuntos!C12+NºAsuntos!E12)/NºAsuntos!G12),(NºAsuntos!C12+NºAsuntos!E12)/NºAsuntos!G12," - ")</f>
        <v>5.2053231939163496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18</v>
      </c>
      <c r="G14" s="1163">
        <f t="shared" si="5"/>
        <v>18</v>
      </c>
      <c r="H14" s="1162">
        <f t="shared" si="5"/>
        <v>0</v>
      </c>
      <c r="I14" s="1164">
        <f t="shared" si="5"/>
        <v>0</v>
      </c>
      <c r="J14" s="1164">
        <f t="shared" si="5"/>
        <v>0</v>
      </c>
      <c r="K14" s="1164">
        <f t="shared" si="5"/>
        <v>0</v>
      </c>
      <c r="L14" s="1164">
        <f t="shared" si="5"/>
        <v>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68</v>
      </c>
      <c r="Y14" s="1165">
        <f t="shared" si="6"/>
        <v>69</v>
      </c>
      <c r="Z14" s="1165">
        <f t="shared" si="6"/>
        <v>0</v>
      </c>
      <c r="AA14" s="1165">
        <f t="shared" si="6"/>
        <v>31</v>
      </c>
      <c r="AB14" s="1165">
        <f t="shared" si="6"/>
        <v>1637</v>
      </c>
      <c r="AC14" s="1165">
        <f t="shared" si="6"/>
        <v>36</v>
      </c>
      <c r="AD14" s="1165">
        <f t="shared" si="6"/>
        <v>0</v>
      </c>
      <c r="AE14" s="1169">
        <f t="shared" si="6"/>
        <v>0</v>
      </c>
      <c r="AF14" s="1162">
        <f t="shared" si="6"/>
        <v>0</v>
      </c>
      <c r="AG14" s="1170">
        <f t="shared" si="6"/>
        <v>0</v>
      </c>
      <c r="AH14" s="1167">
        <f t="shared" si="6"/>
        <v>0</v>
      </c>
      <c r="AI14" s="1162">
        <f t="shared" si="6"/>
        <v>38</v>
      </c>
      <c r="AJ14" s="1164">
        <f t="shared" si="6"/>
        <v>0</v>
      </c>
      <c r="AK14" s="1167">
        <f>SUBTOTAL(9,AK9:AK13)</f>
        <v>0</v>
      </c>
      <c r="AL14" s="1171">
        <f>IF(ISNUMBER(NºAsuntos!G14/NºAsuntos!E14),NºAsuntos!G14/NºAsuntos!E14," - ")</f>
        <v>0.70967741935483875</v>
      </c>
      <c r="AM14" s="1171">
        <f>IF(ISNUMBER(((NºAsuntos!I14/NºAsuntos!G14)*11)/factor_trimestre),((NºAsuntos!I14/NºAsuntos!G14)*11)/factor_trimestre," - ")</f>
        <v>12.875000000000002</v>
      </c>
      <c r="AN14" s="1172">
        <f>IF(ISNUMBER('Resol  Asuntos'!D14/NºAsuntos!G14),'Resol  Asuntos'!D14/NºAsuntos!G14," - ")</f>
        <v>0.14393939393939395</v>
      </c>
      <c r="AO14" s="1173">
        <f>IF(ISNUMBER((NºAsuntos!C14+NºAsuntos!E14)/NºAsuntos!G14),(NºAsuntos!C14+NºAsuntos!E14)/NºAsuntos!G14," - ")</f>
        <v>5.3068181818181817</v>
      </c>
      <c r="AP14" s="1174" t="str">
        <f t="shared" si="2"/>
        <v xml:space="preserve"> - </v>
      </c>
      <c r="AQ14" s="1174">
        <f>IF(ISNUMBER((H14-W14+K14)/(F14)),(H14-W14+K14)/(F14)," - ")</f>
        <v>-5.5555555555555552E-2</v>
      </c>
      <c r="AR14" s="1175">
        <f>IF(ISNUMBER((Datos!P14-Datos!Q14)/(Datos!R14-Datos!P14+Datos!Q14)),(Datos!P14-Datos!Q14)/(Datos!R14-Datos!P14+Datos!Q14)," - ")</f>
        <v>3.678724708767627E-3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985</v>
      </c>
      <c r="G17" s="373">
        <f>IF(ISNUMBER(IF(D_I="SI",Datos!I17,Datos!I17+Datos!AC17)),IF(D_I="SI",Datos!I17,Datos!I17+Datos!AC17)," - ")</f>
        <v>1004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333</v>
      </c>
      <c r="X17" s="240">
        <f>IF(ISNUMBER(Datos!Q17),Datos!Q17," - ")</f>
        <v>9</v>
      </c>
      <c r="Y17" s="374">
        <f t="shared" ref="Y17:Y22" si="9">SUM(W17:X17)</f>
        <v>342</v>
      </c>
      <c r="Z17" s="375" t="str">
        <f>IF(ISNUMBER(Datos!CC17),Datos!CC17," - ")</f>
        <v xml:space="preserve"> - </v>
      </c>
      <c r="AA17" s="372">
        <f>IF(ISNUMBER(IF(D_I="SI",Datos!L17,Datos!L17+Datos!AF17)),IF(D_I="SI",Datos!L17,Datos!L17+Datos!AF17)," - ")</f>
        <v>946</v>
      </c>
      <c r="AB17" s="374">
        <f>IF(ISNUMBER(Datos!R17),Datos!R17," - ")</f>
        <v>136</v>
      </c>
      <c r="AC17" s="374">
        <f t="shared" si="8"/>
        <v>1082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1.1326530612244898</v>
      </c>
      <c r="AM17" s="284">
        <f>IF(ISNUMBER(((NºAsuntos!I17/NºAsuntos!G17)*11)/factor_trimestre),((NºAsuntos!I17/NºAsuntos!G17)*11)/factor_trimestre," - ")</f>
        <v>8.5225225225225234</v>
      </c>
      <c r="AN17" s="267">
        <f>IF(ISNUMBER('Resol  Asuntos'!D17/NºAsuntos!G17),'Resol  Asuntos'!D17/NºAsuntos!G17," - ")</f>
        <v>0.13813813813813813</v>
      </c>
      <c r="AO17" s="268">
        <f>IF(ISNUMBER((NºAsuntos!C17+NºAsuntos!E17)/NºAsuntos!G17),(NºAsuntos!C17+NºAsuntos!E17)/NºAsuntos!G17," - ")</f>
        <v>3.8978978978978978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153</v>
      </c>
      <c r="AB18" s="374">
        <f>IF(ISNUMBER(Datos!R18),Datos!R18," - ")</f>
        <v>1</v>
      </c>
      <c r="AC18" s="374">
        <f t="shared" si="8"/>
        <v>154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8.196428571428573</v>
      </c>
      <c r="AN18" s="267">
        <f>IF(ISNUMBER('Resol  Asuntos'!D18/NºAsuntos!G18),'Resol  Asuntos'!D18/NºAsuntos!G18," - ")</f>
        <v>0.23214285714285715</v>
      </c>
      <c r="AO18" s="268">
        <f>IF(ISNUMBER((NºAsuntos!C18+NºAsuntos!E18)/NºAsuntos!G18),(NºAsuntos!C18+NºAsuntos!E18)/NºAsuntos!G18," - ")</f>
        <v>3.7321428571428572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985</v>
      </c>
      <c r="G23" s="1163">
        <f>SUBTOTAL(9,G16:G22)</f>
        <v>1165</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389</v>
      </c>
      <c r="X23" s="1164">
        <f t="shared" si="14"/>
        <v>9</v>
      </c>
      <c r="Y23" s="1165">
        <f t="shared" si="14"/>
        <v>398</v>
      </c>
      <c r="Z23" s="1165">
        <f t="shared" si="14"/>
        <v>0</v>
      </c>
      <c r="AA23" s="1165">
        <f t="shared" si="14"/>
        <v>1099</v>
      </c>
      <c r="AB23" s="1165">
        <f t="shared" si="14"/>
        <v>137</v>
      </c>
      <c r="AC23" s="1165">
        <f t="shared" si="14"/>
        <v>1236</v>
      </c>
      <c r="AD23" s="1165">
        <f t="shared" si="14"/>
        <v>0</v>
      </c>
      <c r="AE23" s="1169">
        <f t="shared" si="14"/>
        <v>0</v>
      </c>
      <c r="AF23" s="1162">
        <f t="shared" si="14"/>
        <v>0</v>
      </c>
      <c r="AG23" s="1170">
        <f t="shared" si="14"/>
        <v>0</v>
      </c>
      <c r="AH23" s="1167">
        <f t="shared" si="14"/>
        <v>0</v>
      </c>
      <c r="AI23" s="1162">
        <f t="shared" si="14"/>
        <v>59</v>
      </c>
      <c r="AJ23" s="1164">
        <f t="shared" si="14"/>
        <v>0</v>
      </c>
      <c r="AK23" s="1167">
        <f t="shared" si="14"/>
        <v>0</v>
      </c>
      <c r="AL23" s="1171">
        <f>IF(ISNUMBER(NºAsuntos!G23/NºAsuntos!E23),NºAsuntos!G23/NºAsuntos!E23," - ")</f>
        <v>1.1374269005847952</v>
      </c>
      <c r="AM23" s="1171">
        <f>IF(ISNUMBER(((NºAsuntos!I23/NºAsuntos!G23)*11)/factor_trimestre),((NºAsuntos!I23/NºAsuntos!G23)*11)/factor_trimestre," - ")</f>
        <v>8.4755784061696673</v>
      </c>
      <c r="AN23" s="1172">
        <f>IF(ISNUMBER('Resol  Asuntos'!D23/NºAsuntos!G23),'Resol  Asuntos'!D23/NºAsuntos!G23," - ")</f>
        <v>0.15167095115681234</v>
      </c>
      <c r="AO23" s="1173">
        <f>IF(ISNUMBER((NºAsuntos!C23+NºAsuntos!E23)/NºAsuntos!G23),(NºAsuntos!C23+NºAsuntos!E23)/NºAsuntos!G23," - ")</f>
        <v>3.8740359897172238</v>
      </c>
      <c r="AP23" s="1174" t="str">
        <f t="shared" si="2"/>
        <v xml:space="preserve"> - </v>
      </c>
      <c r="AQ23" s="1174">
        <f>IF(ISNUMBER((H23-W23+K23)/(F23)),(H23-W23+K23)/(F23)," - ")</f>
        <v>-0.39492385786802031</v>
      </c>
      <c r="AR23" s="1175">
        <f>IF(ISNUMBER((Datos!P23-Datos!Q23)/(Datos!R23-Datos!P23+Datos!Q23)),(Datos!P23-Datos!Q23)/(Datos!R23-Datos!P23+Datos!Q23)," - ")</f>
        <v>7.3529411764705881E-3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1003</v>
      </c>
      <c r="G31" s="1118">
        <f t="shared" si="20"/>
        <v>1183</v>
      </c>
      <c r="H31" s="1117">
        <f t="shared" si="20"/>
        <v>0</v>
      </c>
      <c r="I31" s="1119">
        <f t="shared" si="20"/>
        <v>0</v>
      </c>
      <c r="J31" s="1119">
        <f t="shared" si="20"/>
        <v>0</v>
      </c>
      <c r="K31" s="1180">
        <f t="shared" si="20"/>
        <v>0</v>
      </c>
      <c r="L31" s="1119">
        <f t="shared" si="20"/>
        <v>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390</v>
      </c>
      <c r="X31" s="1118">
        <f t="shared" si="21"/>
        <v>77</v>
      </c>
      <c r="Y31" s="1125">
        <f t="shared" si="21"/>
        <v>467</v>
      </c>
      <c r="Z31" s="1125">
        <f t="shared" si="21"/>
        <v>0</v>
      </c>
      <c r="AA31" s="1125">
        <f t="shared" si="21"/>
        <v>1130</v>
      </c>
      <c r="AB31" s="1125">
        <f t="shared" si="21"/>
        <v>1774</v>
      </c>
      <c r="AC31" s="1125">
        <f t="shared" si="21"/>
        <v>1272</v>
      </c>
      <c r="AD31" s="1125">
        <f t="shared" si="21"/>
        <v>0</v>
      </c>
      <c r="AE31" s="1127">
        <f t="shared" si="21"/>
        <v>0</v>
      </c>
      <c r="AF31" s="1128">
        <f t="shared" si="21"/>
        <v>0</v>
      </c>
      <c r="AG31" s="1129">
        <f t="shared" si="21"/>
        <v>0</v>
      </c>
      <c r="AH31" s="1127">
        <f t="shared" si="21"/>
        <v>0</v>
      </c>
      <c r="AI31" s="1117">
        <f t="shared" si="21"/>
        <v>97</v>
      </c>
      <c r="AJ31" s="1117">
        <f t="shared" si="21"/>
        <v>0</v>
      </c>
      <c r="AK31" s="1127">
        <f t="shared" si="21"/>
        <v>0</v>
      </c>
      <c r="AL31" s="1183">
        <f>IF(ISNUMBER(NºAsuntos!G31/NºAsuntos!E31),NºAsuntos!G31/NºAsuntos!E31," - ")</f>
        <v>0.91456582633053218</v>
      </c>
      <c r="AM31" s="1184">
        <f>IF(ISNUMBER(((NºAsuntos!I31/NºAsuntos!G31)*11)/factor_trimestre),((NºAsuntos!I31/NºAsuntos!G31)*11)/factor_trimestre," - ")</f>
        <v>10.254211332312407</v>
      </c>
      <c r="AN31" s="1184">
        <f>IF(ISNUMBER('Resol  Asuntos'!D31/NºAsuntos!G31),'Resol  Asuntos'!D31/NºAsuntos!G31," - ")</f>
        <v>0.14854517611026033</v>
      </c>
      <c r="AO31" s="1185">
        <f>IF(ISNUMBER((NºAsuntos!C31+NºAsuntos!E31)/NºAsuntos!G31),(NºAsuntos!C31+NºAsuntos!E31)/NºAsuntos!G31," - ")</f>
        <v>4.4532924961715157</v>
      </c>
      <c r="AP31" s="1186" t="str">
        <f t="shared" si="2"/>
        <v xml:space="preserve"> - </v>
      </c>
      <c r="AQ31" s="1187">
        <f>IF(OR(ISNUMBER(FIND("01",Criterios!A8,1)),ISNUMBER(FIND("02",Criterios!A8,1)),ISNUMBER(FIND("03",Criterios!A8,1)),ISNUMBER(FIND("04",Criterios!A8,1))),(I31-W31+K31)/(F31-K31),(H31-W31+K31)/(F31-K31))</f>
        <v>-0.38883349950149554</v>
      </c>
      <c r="AR31" s="1188">
        <f>IF(ISNUMBER((Datos!P31-Datos!Q31)/(Datos!R31-Datos!P31+Datos!Q31)),(Datos!P31-Datos!Q31)/(Datos!R31-Datos!P31+Datos!Q31)," - ")</f>
        <v>3.9615166949632146E-3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504.06851386162447</v>
      </c>
      <c r="G33" s="277">
        <f>IF(ISNUMBER(STDEV(G8:G30)),STDEV(G8:G30),"-")</f>
        <v>515.12166847584012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172.44985468521676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23.529616595747093</v>
      </c>
      <c r="AJ33" s="276">
        <f t="shared" si="25"/>
        <v>0</v>
      </c>
      <c r="AK33" s="278">
        <f t="shared" si="25"/>
        <v>0</v>
      </c>
      <c r="AL33" s="273">
        <f t="shared" si="25"/>
        <v>0.42387043846680078</v>
      </c>
      <c r="AM33" s="274">
        <f t="shared" si="25"/>
        <v>33.898949634736752</v>
      </c>
      <c r="AN33" s="274">
        <f t="shared" si="25"/>
        <v>0.34424831849050069</v>
      </c>
      <c r="AO33" s="275">
        <f t="shared" si="25"/>
        <v>11.288014811643478</v>
      </c>
      <c r="AP33" s="317" t="str">
        <f t="shared" si="25"/>
        <v>-</v>
      </c>
      <c r="AQ33" s="318">
        <f t="shared" si="25"/>
        <v>0.23996962788491014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0I9MRHh3Nm5Z90q633I4+o85qi6toiKewoPMW3NBeuXUgpYeSGv1i5Inb2XkihMHhptLzUHkJvL3nFJsYlALw==" saltValue="IdnAhPL4JSQeDaMHXDjq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JUMILLA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0.63636363636363635</v>
      </c>
      <c r="E10" s="393">
        <f>IF(ISNUMBER((Datos!J10-Datos!T10)/Datos!T10),(Datos!J10-Datos!T10)/Datos!T10," - ")</f>
        <v>2.5</v>
      </c>
      <c r="F10" s="393" t="str">
        <f>IF(ISNUMBER((Datos!K10-Datos!U10)/Datos!U10),(Datos!K10-Datos!U10)/Datos!U10," - ")</f>
        <v xml:space="preserve"> - </v>
      </c>
      <c r="G10" s="394">
        <f>IF(ISNUMBER((Datos!L10-Datos!V10)/Datos!V10),(Datos!L10-Datos!V10)/Datos!V10," - ")</f>
        <v>1.0666666666666667</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-0.31481481481481483</v>
      </c>
      <c r="I12" s="395">
        <f>IF(ISNUMBER((Tasas!C12-Datos!BE12)/Datos!BE12),(Tasas!C12-Datos!BE12)/Datos!BE12," - ")</f>
        <v>7.6209219664784542E-2</v>
      </c>
      <c r="J12" s="394">
        <f>IF(ISNUMBER((Tasas!D12-Datos!BF12)/Datos!BF12),(Tasas!D12-Datos!BF12)/Datos!BF12," - ")</f>
        <v>-0.64468168080335375</v>
      </c>
      <c r="K12" s="396">
        <f>IF(ISNUMBER((Tasas!E12-Datos!BG12)/Datos!BG12),(Tasas!E12-Datos!BG12)/Datos!BG12," - ")</f>
        <v>6.3743432781660642E-2</v>
      </c>
      <c r="M12" t="e">
        <f>IF(Monitorios="SI",Datos!CE12,0)</f>
        <v>#REF!</v>
      </c>
      <c r="N12" t="e">
        <f>IF(Monitorios="SI",Datos!CF12,0)</f>
        <v>#REF!</v>
      </c>
      <c r="O12" t="e">
        <f>IF(Monitorios="SI",Datos!CG12,0)</f>
        <v>#REF!</v>
      </c>
      <c r="P12" t="e">
        <f>IF(Monitorios="SI",Datos!CH12,0)</f>
        <v>#REF!</v>
      </c>
      <c r="Q12">
        <f>IF(J_V="SI",0,Datos!AG12)</f>
        <v>64</v>
      </c>
      <c r="R12">
        <f>IF(J_V="SI",0,Datos!AH12)</f>
        <v>12</v>
      </c>
      <c r="S12">
        <f>IF(J_V="SI",0,Datos!AI12)</f>
        <v>40</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-0.29629629629629628</v>
      </c>
      <c r="I14" s="402">
        <f>IF(ISNUMBER((Tasas!C14-Datos!BE14)/Datos!BE14),(Tasas!C14-Datos!BE14)/Datos!BE14," - ")</f>
        <v>8.1148763853367473E-2</v>
      </c>
      <c r="J14" s="400">
        <f>IF(ISNUMBER((Tasas!D14-Datos!BF14)/Datos!BF14),(Tasas!D14-Datos!BF14)/Datos!BF14," - ")</f>
        <v>-0.63646076146076136</v>
      </c>
      <c r="K14" s="403">
        <f>IF(ISNUMBER((Tasas!E14-Datos!BG14)/Datos!BG14),(Tasas!E14-Datos!BG14)/Datos!BG14," - ")</f>
        <v>6.7868418608970138E-2</v>
      </c>
      <c r="M14" t="e">
        <f>IF(Monitorios="SI",Datos!CE14,0)</f>
        <v>#REF!</v>
      </c>
      <c r="N14" t="e">
        <f>IF(Monitorios="SI",Datos!CF14,0)</f>
        <v>#REF!</v>
      </c>
      <c r="O14" t="e">
        <f>IF(Monitorios="SI",Datos!CG14,0)</f>
        <v>#REF!</v>
      </c>
      <c r="P14" t="e">
        <f>IF(Monitorios="SI",Datos!CH14,0)</f>
        <v>#REF!</v>
      </c>
      <c r="Q14">
        <f>IF(J_V="SI",0,Datos!AG14)</f>
        <v>64</v>
      </c>
      <c r="R14">
        <f>IF(J_V="SI",0,Datos!AH14)</f>
        <v>12</v>
      </c>
      <c r="S14">
        <f>IF(J_V="SI",0,Datos!AI14)</f>
        <v>40</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-0.25684678016284235</v>
      </c>
      <c r="E17" s="393">
        <f>IF(ISNUMBER(
   IF(D_I="SI",(Datos!J17-Datos!T17)/Datos!T17,(Datos!J17+Datos!AD17-(Datos!T17+Datos!AL17))/(Datos!T17+Datos!AL17))
     ),IF(D_I="SI",(Datos!J17-Datos!T17)/Datos!T17,(Datos!J17+Datos!AD17-(Datos!T17+Datos!AL17))/(Datos!T17+Datos!AL17))," - ")</f>
        <v>0.11787072243346007</v>
      </c>
      <c r="F17" s="393">
        <f>IF(ISNUMBER(
   IF(D_I="SI",(Datos!K17-Datos!U17)/Datos!U17,(Datos!K17+Datos!AE17-(Datos!U17+Datos!AM17))/(Datos!U17+Datos!AM17))
     ),IF(D_I="SI",(Datos!K17-Datos!U17)/Datos!U17,(Datos!K17+Datos!AE17-(Datos!U17+Datos!AM17))/(Datos!U17+Datos!AM17))," - ")</f>
        <v>0.2857142857142857</v>
      </c>
      <c r="G17" s="394">
        <f>IF(ISNUMBER(
   IF(D_I="SI",(Datos!L17-Datos!V17)/Datos!V17,(Datos!L17+Datos!AF17-(Datos!V17+Datos!AN17))/(Datos!V17+Datos!AN17))
     ),IF(D_I="SI",(Datos!L17-Datos!V17)/Datos!V17,(Datos!L17+Datos!AF17-(Datos!V17+Datos!AN17))/(Datos!V17+Datos!AN17))," - ")</f>
        <v>-0.30184501845018452</v>
      </c>
      <c r="H17" s="244">
        <f>IF(ISNUMBER((Datos!M17-Datos!W17)/Datos!W17),(Datos!M17-Datos!W17)/Datos!W17," - ")</f>
        <v>-6.1224489795918366E-2</v>
      </c>
      <c r="I17" s="395">
        <f>IF(ISNUMBER((Tasas!C17-Datos!BE17)/Datos!BE17),(Tasas!C17-Datos!BE17)/Datos!BE17," - ")</f>
        <v>-0.45699056990569908</v>
      </c>
      <c r="J17" s="394">
        <f>IF(ISNUMBER((Tasas!D17-Datos!BF17)/Datos!BF17),(Tasas!D17-Datos!BF17)/Datos!BF17," - ")</f>
        <v>-0.26984126984126988</v>
      </c>
      <c r="K17" s="396">
        <f>IF(ISNUMBER((Tasas!E17-Datos!BG17)/Datos!BG17),(Tasas!E17-Datos!BG17)/Datos!BG17," - ")</f>
        <v>-0.37450089494699168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5.2287581699346407E-2</v>
      </c>
      <c r="E18" s="393">
        <f>IF(ISNUMBER(
   IF(D_I="SI",(Datos!J18-Datos!T18)/Datos!T18,(Datos!J18+Datos!AD18-(Datos!T18+Datos!AL18))/(Datos!T18+Datos!AL18))
     ),IF(D_I="SI",(Datos!J18-Datos!T18)/Datos!T18,(Datos!J18+Datos!AD18-(Datos!T18+Datos!AL18))/(Datos!T18+Datos!AL18))," - ")</f>
        <v>0.23076923076923078</v>
      </c>
      <c r="F18" s="393">
        <f>IF(ISNUMBER(
   IF(D_I="SI",(Datos!K18-Datos!U18)/Datos!U18,(Datos!K18+Datos!AE18-(Datos!U18+Datos!AM18))/(Datos!U18+Datos!AM18))
     ),IF(D_I="SI",(Datos!K18-Datos!U18)/Datos!U18,(Datos!K18+Datos!AE18-(Datos!U18+Datos!AM18))/(Datos!U18+Datos!AM18))," - ")</f>
        <v>0.27272727272727271</v>
      </c>
      <c r="G18" s="394">
        <f>IF(ISNUMBER(
   IF(D_I="SI",(Datos!L18-Datos!V18)/Datos!V18,(Datos!L18+Datos!AF18-(Datos!V18+Datos!AN18))/(Datos!V18+Datos!AN18))
     ),IF(D_I="SI",(Datos!L18-Datos!V18)/Datos!V18,(Datos!L18+Datos!AF18-(Datos!V18+Datos!AN18))/(Datos!V18+Datos!AN18))," - ")</f>
        <v>3.3783783783783786E-2</v>
      </c>
      <c r="H18" s="244">
        <f>IF(ISNUMBER((Datos!M18-Datos!W18)/Datos!W18),(Datos!M18-Datos!W18)/Datos!W18," - ")</f>
        <v>1.6</v>
      </c>
      <c r="I18" s="395">
        <f>IF(ISNUMBER((Tasas!C18-Datos!BE18)/Datos!BE18),(Tasas!C18-Datos!BE18)/Datos!BE18," - ")</f>
        <v>-0.18774131274131275</v>
      </c>
      <c r="J18" s="394">
        <f>IF(ISNUMBER((Tasas!D18-Datos!BF18)/Datos!BF18),(Tasas!D18-Datos!BF18)/Datos!BF18," - ")</f>
        <v>1.0428571428571429</v>
      </c>
      <c r="K18" s="396">
        <f>IF(ISNUMBER((Tasas!E18-Datos!BG18)/Datos!BG18),(Tasas!E18-Datos!BG18)/Datos!BG18," - ")</f>
        <v>-0.14471726190476183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-0.22539893617021275</v>
      </c>
      <c r="E23" s="399">
        <f>IF(ISNUMBER(
   IF(D_I="SI",(Datos!J23-Datos!T23)/Datos!T23,(Datos!J23+Datos!AD23-(Datos!T23+Datos!AL23))/(Datos!T23+Datos!AL23))
     ),IF(D_I="SI",(Datos!J23-Datos!T23)/Datos!T23,(Datos!J23+Datos!AD23-(Datos!T23+Datos!AL23))/(Datos!T23+Datos!AL23))," - ")</f>
        <v>0.13245033112582782</v>
      </c>
      <c r="F23" s="399">
        <f>IF(ISNUMBER(
   IF(D_I="SI",(Datos!K23-Datos!U23)/Datos!U23,(Datos!K23+Datos!AE23-(Datos!U23+Datos!AM23))/(Datos!U23+Datos!AM23))
     ),IF(D_I="SI",(Datos!K23-Datos!U23)/Datos!U23,(Datos!K23+Datos!AE23-(Datos!U23+Datos!AM23))/(Datos!U23+Datos!AM23))," - ")</f>
        <v>0.28382838283828382</v>
      </c>
      <c r="G23" s="400">
        <f>IF(ISNUMBER(
   IF(D_I="SI",(Datos!L23-Datos!V23)/Datos!V23,(Datos!L23+Datos!AF23-(Datos!V23+Datos!AN23))/(Datos!V23+Datos!AN23))
     ),IF(D_I="SI",(Datos!L23-Datos!V23)/Datos!V23,(Datos!L23+Datos!AF23-(Datos!V23+Datos!AN23))/(Datos!V23+Datos!AN23))," - ")</f>
        <v>-0.26879574184963406</v>
      </c>
      <c r="H23" s="401">
        <f>IF(ISNUMBER((Datos!M23-Datos!W23)/Datos!W23),(Datos!M23-Datos!W23)/Datos!W23," - ")</f>
        <v>9.2592592592592587E-2</v>
      </c>
      <c r="I23" s="402">
        <f>IF(ISNUMBER((Tasas!C23-Datos!BE23)/Datos!BE23),(Tasas!C23-Datos!BE23)/Datos!BE23," - ")</f>
        <v>-0.43045015367722139</v>
      </c>
      <c r="J23" s="400">
        <f>IF(ISNUMBER((Tasas!D23-Datos!BF23)/Datos!BF23),(Tasas!D23-Datos!BF23)/Datos!BF23," - ")</f>
        <v>-0.14895744073121961</v>
      </c>
      <c r="K23" s="403">
        <f>IF(ISNUMBER((Tasas!E23-Datos!BG23)/Datos!BG23),(Tasas!E23-Datos!BG23)/Datos!BG23," - ")</f>
        <v>-0.35003715122684448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-5.3494391716997408E-2</v>
      </c>
      <c r="E31" s="409">
        <f>IF(ISNUMBER(
   IF(J_V="SI",(Datos!J31-Datos!T31)/Datos!T31,(Datos!J31+Datos!Z31-(Datos!T31+Datos!AH31))/(Datos!T31+Datos!AH31))
     ),IF(J_V="SI",(Datos!J31-Datos!T31)/Datos!T31,(Datos!J31+Datos!Z31-(Datos!T31+Datos!AH31))/(Datos!T31+Datos!AH31))," - ")</f>
        <v>0.52890792291220556</v>
      </c>
      <c r="F31" s="409">
        <f>IF(ISNUMBER(
   IF(J_V="SI",(Datos!K31-Datos!U31)/Datos!U31,(Datos!K31+Datos!AA31-(Datos!U31+Datos!AI31))/(Datos!U31+Datos!AI31))
     ),IF(J_V="SI",(Datos!K31-Datos!U31)/Datos!U31,(Datos!K31+Datos!AA31-(Datos!U31+Datos!AI31))/(Datos!U31+Datos!AI31))," - ")</f>
        <v>0.30599999999999999</v>
      </c>
      <c r="G31" s="410">
        <f>IF(ISNUMBER(
   IF(J_V="SI",(Datos!L31-Datos!V31)/Datos!V31,(Datos!L31+Datos!AB31-(Datos!V31+Datos!AJ31))/(Datos!V31+Datos!AJ31))
     ),IF(J_V="SI",(Datos!L31-Datos!V31)/Datos!V31,(Datos!L31+Datos!AB31-(Datos!V31+Datos!AJ31))/(Datos!V31+Datos!AJ31))," - ")</f>
        <v>-2.3194748358862146E-2</v>
      </c>
      <c r="H31" s="411">
        <f>IF(ISNUMBER((Datos!M31-Datos!W31)/Datos!W31),(Datos!M31-Datos!W31)/Datos!W31," - ")</f>
        <v>-0.10185185185185185</v>
      </c>
      <c r="I31" s="408">
        <f>IF(ISNUMBER((Tasas!C31-Datos!BE31)/Datos!BE31),(Tasas!C31-Datos!BE31)/Datos!BE31," - ")</f>
        <v>-0.2520633601522681</v>
      </c>
      <c r="J31" s="409">
        <f>IF(ISNUMBER((Tasas!D31-Datos!BF31)/Datos!BF31),(Tasas!D31-Datos!BF31)/Datos!BF31," - ")</f>
        <v>-0.43732887837022605</v>
      </c>
      <c r="K31" s="410">
        <f>IF(ISNUMBER((Tasas!E31-Datos!BG31)/Datos!BG31),(Tasas!E31-Datos!BG31)/Datos!BG31," - ")</f>
        <v>-0.20048608686328268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0.41385054065709259</v>
      </c>
      <c r="E33" s="303">
        <f t="shared" si="1"/>
        <v>1.1708922828997659</v>
      </c>
      <c r="F33" s="303">
        <f t="shared" si="1"/>
        <v>7.0172855825139562E-3</v>
      </c>
      <c r="G33" s="304">
        <f t="shared" si="1"/>
        <v>0.64086038804091006</v>
      </c>
      <c r="H33" s="310">
        <f t="shared" si="1"/>
        <v>0.79859827563095243</v>
      </c>
      <c r="I33" s="302">
        <f t="shared" si="1"/>
        <v>0.26138443189499616</v>
      </c>
      <c r="J33" s="303">
        <f t="shared" si="1"/>
        <v>0.6922605256829647</v>
      </c>
      <c r="K33" s="304">
        <f t="shared" si="1"/>
        <v>0.21422289039495279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vnTtrctioMUMet7VpZDq/S44slw8JBXUDJE0EmHDF/Gi7ABeHjNiPlNN+ecE0go9pZxS6GFfI3YaoQIQezUsw==" saltValue="yNlfBsZf6R0VLi2oevuZ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